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pivotTables/pivotTable1.xml" ContentType="application/vnd.openxmlformats-officedocument.spreadsheetml.pivotTable+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chavezma\AppData\Local\Microsoft\Windows\INetCache\Content.Outlook\K5W3Y74D\"/>
    </mc:Choice>
  </mc:AlternateContent>
  <bookViews>
    <workbookView xWindow="0" yWindow="0" windowWidth="5145" windowHeight="7650" firstSheet="5" activeTab="6"/>
  </bookViews>
  <sheets>
    <sheet name="RECAP (VAT excl)" sheetId="6" state="hidden" r:id="rId1"/>
    <sheet name="RECAP (VAT incl)" sheetId="4" state="hidden" r:id="rId2"/>
    <sheet name="LAIF (incl AFD Remuneration)" sheetId="7" state="hidden" r:id="rId3"/>
    <sheet name="PAyC UGP BDE  AFD UE LAI" sheetId="10" state="hidden" r:id="rId4"/>
    <sheet name="actualización" sheetId="22" state="hidden" r:id="rId5"/>
    <sheet name="Hoja2" sheetId="31" r:id="rId6"/>
    <sheet name="PAyC BDE AFD LAIF" sheetId="16" r:id="rId7"/>
    <sheet name="Hoja5" sheetId="30" r:id="rId8"/>
    <sheet name="Anexo 1 Viáticos" sheetId="23" state="hidden" r:id="rId9"/>
    <sheet name="Anexo 2 Arrendam Vehíc" sheetId="24" state="hidden" r:id="rId10"/>
    <sheet name="Anexo 3 Manten Vehíc" sheetId="25" state="hidden" r:id="rId11"/>
    <sheet name="Anexo 1 cálculo viaticos" sheetId="17" state="hidden" r:id="rId12"/>
    <sheet name="Anexo 2 Arrendamiento" sheetId="21" state="hidden" r:id="rId13"/>
    <sheet name="Anexo3 Vehiculo (gastos mante)" sheetId="20" state="hidden" r:id="rId14"/>
    <sheet name="Hoja1" sheetId="15" state="hidden" r:id="rId15"/>
  </sheets>
  <definedNames>
    <definedName name="_xlnm._FilterDatabase" localSheetId="6" hidden="1">'PAyC BDE AFD LAIF'!$B$18:$AD$97</definedName>
    <definedName name="_xlnm.Print_Area" localSheetId="11">'Anexo 1 cálculo viaticos'!$A$2:$BM$21</definedName>
    <definedName name="_xlnm.Print_Area" localSheetId="12">'Anexo 2 Arrendamiento'!$B$1:$T$8</definedName>
    <definedName name="_xlnm.Print_Area" localSheetId="13">'Anexo3 Vehiculo (gastos mante)'!$B$1:$I$21</definedName>
    <definedName name="_xlnm.Print_Area" localSheetId="6">'PAyC BDE AFD LAIF'!$B$1:$AD$96</definedName>
    <definedName name="_xlnm.Print_Area" localSheetId="3">'PAyC UGP BDE  AFD UE LAI'!$B$9:$Z$34</definedName>
  </definedNames>
  <calcPr calcId="152511"/>
  <pivotCaches>
    <pivotCache cacheId="0" r:id="rId16"/>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F56" i="16" l="1"/>
  <c r="H53" i="16"/>
  <c r="H26" i="16"/>
  <c r="K53" i="16"/>
  <c r="F53" i="16"/>
  <c r="O53" i="16" l="1"/>
  <c r="M53" i="16"/>
  <c r="I53" i="16"/>
  <c r="I26" i="16" s="1"/>
  <c r="O95" i="16"/>
  <c r="H20" i="16" l="1"/>
  <c r="H72" i="16" l="1"/>
  <c r="K72" i="16" s="1"/>
  <c r="H66" i="16"/>
  <c r="K66" i="16" s="1"/>
  <c r="H63" i="16"/>
  <c r="K63" i="16" s="1"/>
  <c r="M63" i="16" s="1"/>
  <c r="O63" i="16" s="1"/>
  <c r="M72" i="16" l="1"/>
  <c r="O72" i="16" s="1"/>
  <c r="U72" i="16" s="1"/>
  <c r="I72" i="16"/>
  <c r="M66" i="16"/>
  <c r="O66" i="16" s="1"/>
  <c r="U66" i="16" s="1"/>
  <c r="I66" i="16"/>
  <c r="I63" i="16"/>
  <c r="W72" i="16" l="1"/>
  <c r="Y72" i="16" s="1"/>
  <c r="W66" i="16"/>
  <c r="Y66" i="16" s="1"/>
  <c r="H56" i="16" l="1"/>
  <c r="I56" i="16" s="1"/>
  <c r="K56" i="16" l="1"/>
  <c r="H94" i="16"/>
  <c r="H93" i="16"/>
  <c r="H91" i="16"/>
  <c r="H89" i="16"/>
  <c r="H88" i="16"/>
  <c r="H87" i="16"/>
  <c r="H86" i="16"/>
  <c r="H85" i="16"/>
  <c r="H84" i="16"/>
  <c r="H83" i="16"/>
  <c r="H82" i="16"/>
  <c r="H81" i="16"/>
  <c r="H80" i="16"/>
  <c r="H79" i="16"/>
  <c r="H78" i="16"/>
  <c r="H76" i="16"/>
  <c r="H74" i="16"/>
  <c r="H73" i="16"/>
  <c r="H70" i="16"/>
  <c r="H69" i="16"/>
  <c r="H67" i="16"/>
  <c r="H65" i="16"/>
  <c r="H64" i="16"/>
  <c r="H62" i="16"/>
  <c r="H59" i="16"/>
  <c r="H57" i="16"/>
  <c r="H51" i="16"/>
  <c r="H50" i="16"/>
  <c r="H49" i="16"/>
  <c r="H48" i="16"/>
  <c r="H47" i="16"/>
  <c r="H46" i="16"/>
  <c r="H45" i="16"/>
  <c r="H44" i="16"/>
  <c r="H43" i="16"/>
  <c r="H42" i="16"/>
  <c r="H41" i="16"/>
  <c r="H40" i="16"/>
  <c r="H39" i="16"/>
  <c r="H38" i="16"/>
  <c r="H37" i="16"/>
  <c r="H36" i="16"/>
  <c r="H35" i="16"/>
  <c r="H34" i="16"/>
  <c r="H33" i="16"/>
  <c r="H32" i="16"/>
  <c r="H31" i="16"/>
  <c r="H30" i="16"/>
  <c r="H29" i="16"/>
  <c r="H28" i="16"/>
  <c r="M56" i="16" l="1"/>
  <c r="O56" i="16" s="1"/>
  <c r="H77" i="16"/>
  <c r="H75" i="16"/>
  <c r="H68" i="16"/>
  <c r="F52" i="16" l="1"/>
  <c r="H52" i="16" s="1"/>
  <c r="I52" i="16" s="1"/>
  <c r="H61" i="16" l="1"/>
  <c r="H58" i="16"/>
  <c r="H27" i="16"/>
  <c r="H24" i="16"/>
  <c r="H23" i="16"/>
  <c r="H22" i="16"/>
  <c r="H21" i="16"/>
  <c r="K52" i="16" l="1"/>
  <c r="M52" i="16" l="1"/>
  <c r="O52" i="16" s="1"/>
  <c r="K68" i="16"/>
  <c r="I68" i="16"/>
  <c r="M68" i="16" l="1"/>
  <c r="O68" i="16" s="1"/>
  <c r="U68" i="16" s="1"/>
  <c r="F71" i="16"/>
  <c r="H71" i="16" s="1"/>
  <c r="I71" i="16" l="1"/>
  <c r="K71" i="16"/>
  <c r="M71" i="16" s="1"/>
  <c r="O71" i="16" s="1"/>
  <c r="W68" i="16"/>
  <c r="Y68" i="16" s="1"/>
  <c r="N39" i="16" l="1"/>
  <c r="I39" i="16"/>
  <c r="K39" i="16"/>
  <c r="O39" i="16" l="1"/>
  <c r="M69" i="16"/>
  <c r="O69" i="16" s="1"/>
  <c r="K69" i="16"/>
  <c r="I69" i="16"/>
  <c r="U69" i="16" l="1"/>
  <c r="N9" i="30"/>
  <c r="F95" i="16" l="1"/>
  <c r="H95" i="16" s="1"/>
  <c r="H92" i="16" s="1"/>
  <c r="M94" i="16"/>
  <c r="O94" i="16" s="1"/>
  <c r="I94" i="16"/>
  <c r="K93" i="16"/>
  <c r="M93" i="16" s="1"/>
  <c r="I93" i="16"/>
  <c r="K95" i="16" l="1"/>
  <c r="I95" i="16"/>
  <c r="I92" i="16" s="1"/>
  <c r="O93" i="16"/>
  <c r="U93" i="16" s="1"/>
  <c r="W93" i="16" l="1"/>
  <c r="Y93" i="16" s="1"/>
  <c r="M95" i="16"/>
  <c r="U95" i="16" s="1"/>
  <c r="W95" i="16" l="1"/>
  <c r="Y95" i="16" s="1"/>
  <c r="K61" i="16"/>
  <c r="M61" i="16" s="1"/>
  <c r="O61" i="16" s="1"/>
  <c r="I61" i="16"/>
  <c r="K75" i="16"/>
  <c r="I75" i="16" l="1"/>
  <c r="M75" i="16"/>
  <c r="O75" i="16" s="1"/>
  <c r="W75" i="16" s="1"/>
  <c r="E60" i="16"/>
  <c r="H60" i="16" s="1"/>
  <c r="H55" i="16" s="1"/>
  <c r="U75" i="16" l="1"/>
  <c r="Y75" i="16" s="1"/>
  <c r="I60" i="16"/>
  <c r="K60" i="16" l="1"/>
  <c r="M60" i="16" s="1"/>
  <c r="O60" i="16" s="1"/>
  <c r="U60" i="16" s="1"/>
  <c r="W60" i="16" l="1"/>
  <c r="Y60" i="16" s="1"/>
  <c r="K73" i="16" l="1"/>
  <c r="I73" i="16"/>
  <c r="K58" i="16"/>
  <c r="I58" i="16"/>
  <c r="M73" i="16" l="1"/>
  <c r="O73" i="16" s="1"/>
  <c r="U73" i="16" s="1"/>
  <c r="M58" i="16"/>
  <c r="O58" i="16" s="1"/>
  <c r="U58" i="16" s="1"/>
  <c r="K34" i="16"/>
  <c r="I34" i="16"/>
  <c r="W73" i="16" l="1"/>
  <c r="Y73" i="16" s="1"/>
  <c r="W58" i="16"/>
  <c r="Y58" i="16" s="1"/>
  <c r="M34" i="16"/>
  <c r="K74" i="16"/>
  <c r="I74" i="16"/>
  <c r="O34" i="16" l="1"/>
  <c r="U34" i="16" s="1"/>
  <c r="M74" i="16"/>
  <c r="K33" i="16"/>
  <c r="I33" i="16"/>
  <c r="W34" i="16" l="1"/>
  <c r="Y34" i="16" s="1"/>
  <c r="O74" i="16"/>
  <c r="U74" i="16" s="1"/>
  <c r="M33" i="16"/>
  <c r="W74" i="16" l="1"/>
  <c r="Y74" i="16" s="1"/>
  <c r="O33" i="16"/>
  <c r="U33" i="16" s="1"/>
  <c r="W33" i="16" l="1"/>
  <c r="Y33" i="16" s="1"/>
  <c r="N77" i="16"/>
  <c r="L77" i="16"/>
  <c r="K24" i="16" l="1"/>
  <c r="M24" i="16" l="1"/>
  <c r="O24" i="16" s="1"/>
  <c r="I24" i="16"/>
  <c r="K89" i="16" l="1"/>
  <c r="K88" i="16" l="1"/>
  <c r="M88" i="16" s="1"/>
  <c r="O88" i="16" s="1"/>
  <c r="U88" i="16" s="1"/>
  <c r="M89" i="16"/>
  <c r="I88" i="16"/>
  <c r="I89" i="16"/>
  <c r="W88" i="16" l="1"/>
  <c r="Y88" i="16" s="1"/>
  <c r="O89" i="16"/>
  <c r="U89" i="16" s="1"/>
  <c r="W89" i="16" l="1"/>
  <c r="Y89" i="16" s="1"/>
  <c r="K51" i="16" l="1"/>
  <c r="I51" i="16"/>
  <c r="M51" i="16" l="1"/>
  <c r="O51" i="16" s="1"/>
  <c r="K23" i="16" l="1"/>
  <c r="M23" i="16" s="1"/>
  <c r="K22" i="16"/>
  <c r="K21" i="16"/>
  <c r="M21" i="16" s="1"/>
  <c r="K20" i="16"/>
  <c r="I23" i="16"/>
  <c r="I22" i="16"/>
  <c r="I21" i="16"/>
  <c r="I20" i="16"/>
  <c r="O23" i="16" l="1"/>
  <c r="M22" i="16"/>
  <c r="O22" i="16" s="1"/>
  <c r="O21" i="16"/>
  <c r="M20" i="16"/>
  <c r="O20" i="16" s="1"/>
  <c r="N47" i="16" l="1"/>
  <c r="N18" i="16" l="1"/>
  <c r="L18" i="16"/>
  <c r="L26" i="16"/>
  <c r="N55" i="16"/>
  <c r="N54" i="16" s="1"/>
  <c r="L55" i="16"/>
  <c r="N90" i="16"/>
  <c r="L90" i="16"/>
  <c r="N92" i="16"/>
  <c r="L92" i="16"/>
  <c r="L54" i="16" l="1"/>
  <c r="L25" i="16" s="1"/>
  <c r="H90" i="16" l="1"/>
  <c r="I86" i="16" l="1"/>
  <c r="K86" i="16"/>
  <c r="M86" i="16" l="1"/>
  <c r="O86" i="16" l="1"/>
  <c r="U86" i="16" s="1"/>
  <c r="I87" i="16"/>
  <c r="K87" i="16"/>
  <c r="K48" i="16"/>
  <c r="K47" i="16"/>
  <c r="O47" i="16" s="1"/>
  <c r="K46" i="16"/>
  <c r="N46" i="16" s="1"/>
  <c r="K45" i="16"/>
  <c r="N45" i="16" s="1"/>
  <c r="K44" i="16"/>
  <c r="K43" i="16"/>
  <c r="K42" i="16"/>
  <c r="I48" i="16"/>
  <c r="I47" i="16"/>
  <c r="I46" i="16"/>
  <c r="I45" i="16"/>
  <c r="I44" i="16"/>
  <c r="I43" i="16"/>
  <c r="I42" i="16"/>
  <c r="M43" i="16" l="1"/>
  <c r="O43" i="16" s="1"/>
  <c r="M87" i="16"/>
  <c r="O87" i="16" s="1"/>
  <c r="U87" i="16" s="1"/>
  <c r="W86" i="16"/>
  <c r="Y86" i="16" s="1"/>
  <c r="M48" i="16"/>
  <c r="O48" i="16" s="1"/>
  <c r="M44" i="16"/>
  <c r="O44" i="16" s="1"/>
  <c r="M42" i="16"/>
  <c r="O42" i="16" s="1"/>
  <c r="E41" i="22"/>
  <c r="H41" i="22" s="1"/>
  <c r="H61" i="22"/>
  <c r="F61" i="22"/>
  <c r="H60" i="22"/>
  <c r="J60" i="22" s="1"/>
  <c r="L60" i="22" s="1"/>
  <c r="F60" i="22"/>
  <c r="K59" i="22"/>
  <c r="I59" i="22"/>
  <c r="E59" i="22"/>
  <c r="H58" i="22"/>
  <c r="J58" i="22" s="1"/>
  <c r="F58" i="22"/>
  <c r="H57" i="22"/>
  <c r="F57" i="22"/>
  <c r="K56" i="22"/>
  <c r="I56" i="22"/>
  <c r="E56" i="22"/>
  <c r="H55" i="22"/>
  <c r="F55" i="22"/>
  <c r="H54" i="22"/>
  <c r="J54" i="22" s="1"/>
  <c r="F54" i="22"/>
  <c r="H53" i="22"/>
  <c r="F53" i="22"/>
  <c r="H52" i="22"/>
  <c r="J52" i="22" s="1"/>
  <c r="L52" i="22" s="1"/>
  <c r="F52" i="22"/>
  <c r="H51" i="22"/>
  <c r="J51" i="22" s="1"/>
  <c r="F51" i="22"/>
  <c r="H50" i="22"/>
  <c r="J50" i="22" s="1"/>
  <c r="F50" i="22"/>
  <c r="H49" i="22"/>
  <c r="F49" i="22"/>
  <c r="V48" i="22"/>
  <c r="H48" i="22"/>
  <c r="L48" i="22" s="1"/>
  <c r="F48" i="22"/>
  <c r="H47" i="22"/>
  <c r="J47" i="22" s="1"/>
  <c r="L47" i="22" s="1"/>
  <c r="F47" i="22"/>
  <c r="H46" i="22"/>
  <c r="J46" i="22" s="1"/>
  <c r="F46" i="22"/>
  <c r="H45" i="22"/>
  <c r="J45" i="22" s="1"/>
  <c r="L45" i="22" s="1"/>
  <c r="R45" i="22" s="1"/>
  <c r="F45" i="22"/>
  <c r="H44" i="22"/>
  <c r="F44" i="22"/>
  <c r="E43" i="22"/>
  <c r="H43" i="22" s="1"/>
  <c r="K42" i="22"/>
  <c r="I42" i="22"/>
  <c r="G42" i="22"/>
  <c r="H40" i="22"/>
  <c r="F40" i="22"/>
  <c r="H39" i="22"/>
  <c r="J39" i="22" s="1"/>
  <c r="L39" i="22" s="1"/>
  <c r="F39" i="22"/>
  <c r="H38" i="22"/>
  <c r="J38" i="22" s="1"/>
  <c r="F38" i="22"/>
  <c r="H37" i="22"/>
  <c r="J37" i="22" s="1"/>
  <c r="L37" i="22" s="1"/>
  <c r="R37" i="22" s="1"/>
  <c r="F37" i="22"/>
  <c r="H36" i="22"/>
  <c r="F36" i="22"/>
  <c r="H35" i="22"/>
  <c r="F35" i="22"/>
  <c r="H34" i="22"/>
  <c r="F34" i="22"/>
  <c r="E33" i="22"/>
  <c r="F33" i="22" s="1"/>
  <c r="E32" i="22"/>
  <c r="H31" i="22"/>
  <c r="F31" i="22"/>
  <c r="H30" i="22"/>
  <c r="F30" i="22"/>
  <c r="H29" i="22"/>
  <c r="J29" i="22" s="1"/>
  <c r="L29" i="22" s="1"/>
  <c r="F29" i="22"/>
  <c r="H28" i="22"/>
  <c r="J28" i="22" s="1"/>
  <c r="F28" i="22"/>
  <c r="K27" i="22"/>
  <c r="I27" i="22"/>
  <c r="G27" i="22"/>
  <c r="H25" i="22"/>
  <c r="H24" i="22"/>
  <c r="F24" i="22"/>
  <c r="H23" i="22"/>
  <c r="F23" i="22"/>
  <c r="H22" i="22"/>
  <c r="F22" i="22"/>
  <c r="E21" i="22"/>
  <c r="F21" i="22" s="1"/>
  <c r="H20" i="22"/>
  <c r="F20" i="22"/>
  <c r="K19" i="22"/>
  <c r="I19" i="22"/>
  <c r="E17" i="22"/>
  <c r="F17" i="22" s="1"/>
  <c r="E16" i="22"/>
  <c r="H16" i="22" s="1"/>
  <c r="K15" i="22"/>
  <c r="I15" i="22"/>
  <c r="K31" i="16"/>
  <c r="K30" i="16"/>
  <c r="K32" i="16"/>
  <c r="I31" i="16"/>
  <c r="I30" i="16"/>
  <c r="I32" i="16"/>
  <c r="I29" i="16"/>
  <c r="K29" i="16"/>
  <c r="E42" i="22" l="1"/>
  <c r="F56" i="22"/>
  <c r="H56" i="22"/>
  <c r="E15" i="22"/>
  <c r="H17" i="22"/>
  <c r="F43" i="22"/>
  <c r="F42" i="22" s="1"/>
  <c r="O45" i="16"/>
  <c r="O46" i="16"/>
  <c r="M29" i="16"/>
  <c r="O29" i="16" s="1"/>
  <c r="U29" i="16" s="1"/>
  <c r="M31" i="16"/>
  <c r="O31" i="16" s="1"/>
  <c r="U31" i="16" s="1"/>
  <c r="W87" i="16"/>
  <c r="Y87" i="16" s="1"/>
  <c r="F59" i="22"/>
  <c r="F16" i="22"/>
  <c r="F15" i="22" s="1"/>
  <c r="M32" i="16"/>
  <c r="O32" i="16" s="1"/>
  <c r="M30" i="16"/>
  <c r="O30" i="16" s="1"/>
  <c r="E27" i="22"/>
  <c r="E26" i="22" s="1"/>
  <c r="I26" i="22"/>
  <c r="I18" i="22" s="1"/>
  <c r="I62" i="22" s="1"/>
  <c r="L54" i="22"/>
  <c r="R54" i="22" s="1"/>
  <c r="K26" i="22"/>
  <c r="K18" i="22" s="1"/>
  <c r="K62" i="22" s="1"/>
  <c r="J41" i="22"/>
  <c r="L41" i="22" s="1"/>
  <c r="R29" i="22"/>
  <c r="T29" i="22"/>
  <c r="L38" i="22"/>
  <c r="R38" i="22" s="1"/>
  <c r="R47" i="22"/>
  <c r="T47" i="22"/>
  <c r="T39" i="22"/>
  <c r="R39" i="22"/>
  <c r="L28" i="22"/>
  <c r="T28" i="22" s="1"/>
  <c r="R60" i="22"/>
  <c r="T60" i="22"/>
  <c r="L51" i="22"/>
  <c r="R51" i="22" s="1"/>
  <c r="F19" i="22"/>
  <c r="L46" i="22"/>
  <c r="R46" i="22" s="1"/>
  <c r="R52" i="22"/>
  <c r="T52" i="22"/>
  <c r="J36" i="22"/>
  <c r="L36" i="22" s="1"/>
  <c r="R36" i="22" s="1"/>
  <c r="J44" i="22"/>
  <c r="L44" i="22" s="1"/>
  <c r="R44" i="22" s="1"/>
  <c r="L50" i="22"/>
  <c r="R50" i="22" s="1"/>
  <c r="L58" i="22"/>
  <c r="R58" i="22" s="1"/>
  <c r="J16" i="22"/>
  <c r="L16" i="22" s="1"/>
  <c r="J23" i="22"/>
  <c r="L23" i="22" s="1"/>
  <c r="R23" i="22" s="1"/>
  <c r="F32" i="22"/>
  <c r="J35" i="22"/>
  <c r="L35" i="22" s="1"/>
  <c r="R35" i="22" s="1"/>
  <c r="E19" i="22"/>
  <c r="H21" i="22"/>
  <c r="J22" i="22"/>
  <c r="H32" i="22"/>
  <c r="H33" i="22"/>
  <c r="J34" i="22"/>
  <c r="T37" i="22"/>
  <c r="V37" i="22" s="1"/>
  <c r="F41" i="22"/>
  <c r="T45" i="22"/>
  <c r="V45" i="22" s="1"/>
  <c r="J55" i="22"/>
  <c r="J24" i="22"/>
  <c r="L24" i="22" s="1"/>
  <c r="J49" i="22"/>
  <c r="L49" i="22" s="1"/>
  <c r="R49" i="22" s="1"/>
  <c r="J57" i="22"/>
  <c r="L57" i="22" s="1"/>
  <c r="H15" i="22"/>
  <c r="H42" i="22"/>
  <c r="J17" i="22"/>
  <c r="L17" i="22" s="1"/>
  <c r="J43" i="22"/>
  <c r="L43" i="22" s="1"/>
  <c r="J20" i="22"/>
  <c r="J25" i="22"/>
  <c r="L25" i="22" s="1"/>
  <c r="J31" i="22"/>
  <c r="J30" i="22"/>
  <c r="J40" i="22"/>
  <c r="J53" i="22"/>
  <c r="J61" i="22"/>
  <c r="L61" i="22" s="1"/>
  <c r="R61" i="22" s="1"/>
  <c r="H59" i="22"/>
  <c r="S6" i="21"/>
  <c r="Q6" i="21"/>
  <c r="O6" i="21"/>
  <c r="M6" i="21"/>
  <c r="K6" i="21"/>
  <c r="I6" i="21"/>
  <c r="G6" i="21"/>
  <c r="E6" i="21"/>
  <c r="T38" i="22" l="1"/>
  <c r="U32" i="16"/>
  <c r="V39" i="22"/>
  <c r="W32" i="16"/>
  <c r="U30" i="16"/>
  <c r="W31" i="16"/>
  <c r="Y31" i="16" s="1"/>
  <c r="W29" i="16"/>
  <c r="Y29" i="16" s="1"/>
  <c r="F27" i="22"/>
  <c r="F26" i="22" s="1"/>
  <c r="F18" i="22" s="1"/>
  <c r="F62" i="22" s="1"/>
  <c r="V52" i="22"/>
  <c r="T54" i="22"/>
  <c r="V54" i="22" s="1"/>
  <c r="E18" i="22"/>
  <c r="E62" i="22" s="1"/>
  <c r="T46" i="22"/>
  <c r="V46" i="22" s="1"/>
  <c r="V29" i="22"/>
  <c r="L15" i="22"/>
  <c r="R16" i="22"/>
  <c r="L56" i="22"/>
  <c r="R57" i="22"/>
  <c r="T61" i="22"/>
  <c r="V61" i="22" s="1"/>
  <c r="J59" i="22"/>
  <c r="L53" i="22"/>
  <c r="R53" i="22" s="1"/>
  <c r="R28" i="22"/>
  <c r="V28" i="22" s="1"/>
  <c r="V47" i="22"/>
  <c r="L40" i="22"/>
  <c r="R40" i="22" s="1"/>
  <c r="J21" i="22"/>
  <c r="R43" i="22"/>
  <c r="L31" i="22"/>
  <c r="R31" i="22" s="1"/>
  <c r="T50" i="22"/>
  <c r="V50" i="22" s="1"/>
  <c r="L30" i="22"/>
  <c r="R30" i="22" s="1"/>
  <c r="T44" i="22"/>
  <c r="V44" i="22" s="1"/>
  <c r="L20" i="22"/>
  <c r="L59" i="22"/>
  <c r="V38" i="22"/>
  <c r="L55" i="22"/>
  <c r="R55" i="22" s="1"/>
  <c r="T35" i="22"/>
  <c r="V35" i="22" s="1"/>
  <c r="T58" i="22"/>
  <c r="V58" i="22" s="1"/>
  <c r="J32" i="22"/>
  <c r="H27" i="22"/>
  <c r="H26" i="22" s="1"/>
  <c r="T57" i="22"/>
  <c r="J56" i="22"/>
  <c r="T16" i="22"/>
  <c r="J15" i="22"/>
  <c r="T49" i="22"/>
  <c r="V49" i="22" s="1"/>
  <c r="T43" i="22"/>
  <c r="J42" i="22"/>
  <c r="H19" i="22"/>
  <c r="L22" i="22"/>
  <c r="R22" i="22" s="1"/>
  <c r="T36" i="22"/>
  <c r="V36" i="22" s="1"/>
  <c r="L34" i="22"/>
  <c r="R34" i="22" s="1"/>
  <c r="J33" i="22"/>
  <c r="T51" i="22"/>
  <c r="V51" i="22" s="1"/>
  <c r="V60" i="22"/>
  <c r="T23" i="22"/>
  <c r="V23" i="22" s="1"/>
  <c r="T6" i="21"/>
  <c r="T30" i="22" l="1"/>
  <c r="V30" i="22" s="1"/>
  <c r="T40" i="22"/>
  <c r="Y32" i="16"/>
  <c r="W30" i="16"/>
  <c r="Y30" i="16" s="1"/>
  <c r="J27" i="22"/>
  <c r="J26" i="22" s="1"/>
  <c r="T53" i="22"/>
  <c r="T55" i="22"/>
  <c r="V55" i="22" s="1"/>
  <c r="T31" i="22"/>
  <c r="V31" i="22" s="1"/>
  <c r="H18" i="22"/>
  <c r="H62" i="22" s="1"/>
  <c r="V43" i="22"/>
  <c r="L32" i="22"/>
  <c r="L21" i="22"/>
  <c r="R21" i="22" s="1"/>
  <c r="V16" i="22"/>
  <c r="T34" i="22"/>
  <c r="V34" i="22" s="1"/>
  <c r="V40" i="22"/>
  <c r="V53" i="22"/>
  <c r="R20" i="22"/>
  <c r="T22" i="22"/>
  <c r="V22" i="22" s="1"/>
  <c r="J19" i="22"/>
  <c r="T20" i="22"/>
  <c r="L33" i="22"/>
  <c r="R33" i="22" s="1"/>
  <c r="L42" i="22"/>
  <c r="V57" i="22"/>
  <c r="L27" i="22" l="1"/>
  <c r="L26" i="22" s="1"/>
  <c r="J18" i="22"/>
  <c r="J62" i="22" s="1"/>
  <c r="T33" i="22"/>
  <c r="V33" i="22" s="1"/>
  <c r="R32" i="22"/>
  <c r="L19" i="22"/>
  <c r="T32" i="22"/>
  <c r="V20" i="22"/>
  <c r="T21" i="22"/>
  <c r="V21" i="22" s="1"/>
  <c r="F7" i="20"/>
  <c r="G7" i="20" s="1"/>
  <c r="F9" i="20"/>
  <c r="G9" i="20" s="1"/>
  <c r="F11" i="20"/>
  <c r="G11" i="20" s="1"/>
  <c r="G5" i="20"/>
  <c r="G6" i="20"/>
  <c r="G8" i="20"/>
  <c r="G10" i="20"/>
  <c r="G12" i="20"/>
  <c r="V32" i="22" l="1"/>
  <c r="L18" i="22"/>
  <c r="L62" i="22" s="1"/>
  <c r="G13" i="20"/>
  <c r="BH9" i="17" l="1"/>
  <c r="BF9" i="17"/>
  <c r="BD9" i="17"/>
  <c r="BB9" i="17"/>
  <c r="AZ9" i="17"/>
  <c r="AX9" i="17"/>
  <c r="AV9" i="17"/>
  <c r="AS9" i="17"/>
  <c r="AQ9" i="17"/>
  <c r="AO9" i="17"/>
  <c r="AM9" i="17"/>
  <c r="AK9" i="17"/>
  <c r="AI9" i="17"/>
  <c r="AG9" i="17"/>
  <c r="AE9" i="17"/>
  <c r="AC9" i="17"/>
  <c r="AA9" i="17"/>
  <c r="Y9" i="17"/>
  <c r="W9" i="17"/>
  <c r="T9" i="17"/>
  <c r="R9" i="17"/>
  <c r="P9" i="17"/>
  <c r="N9" i="17"/>
  <c r="AT9" i="17" l="1"/>
  <c r="L96" i="16"/>
  <c r="AZ10" i="17"/>
  <c r="BJ14" i="17"/>
  <c r="BH14" i="17"/>
  <c r="BF14" i="17"/>
  <c r="BD14" i="17"/>
  <c r="BB14" i="17"/>
  <c r="AZ14" i="17"/>
  <c r="AX14" i="17"/>
  <c r="AV14" i="17"/>
  <c r="AS14" i="17"/>
  <c r="AQ14" i="17"/>
  <c r="AO14" i="17"/>
  <c r="AM14" i="17"/>
  <c r="AK14" i="17"/>
  <c r="AI14" i="17"/>
  <c r="AG14" i="17"/>
  <c r="AE14" i="17"/>
  <c r="BI14" i="17" l="1"/>
  <c r="BL14" i="17" s="1"/>
  <c r="E23" i="17"/>
  <c r="F23" i="17" s="1"/>
  <c r="BF15" i="17"/>
  <c r="BD15" i="17"/>
  <c r="BB15" i="17"/>
  <c r="AZ15" i="17"/>
  <c r="AX15" i="17"/>
  <c r="AV15" i="17"/>
  <c r="AS15" i="17"/>
  <c r="AQ15" i="17"/>
  <c r="AO15" i="17"/>
  <c r="AM15" i="17"/>
  <c r="AK15" i="17"/>
  <c r="AI15" i="17"/>
  <c r="AG15" i="17"/>
  <c r="AE15" i="17"/>
  <c r="AC15" i="17"/>
  <c r="AA15" i="17"/>
  <c r="Y15" i="17"/>
  <c r="W15" i="17"/>
  <c r="T15" i="17"/>
  <c r="R15" i="17"/>
  <c r="P15" i="17"/>
  <c r="N15" i="17"/>
  <c r="L15" i="17"/>
  <c r="J15" i="17"/>
  <c r="H15" i="17"/>
  <c r="F15" i="17"/>
  <c r="D15" i="17"/>
  <c r="AC14" i="17"/>
  <c r="AA14" i="17"/>
  <c r="Y14" i="17"/>
  <c r="W14" i="17"/>
  <c r="T14" i="17"/>
  <c r="R14" i="17"/>
  <c r="P14" i="17"/>
  <c r="N14" i="17"/>
  <c r="L14" i="17"/>
  <c r="J14" i="17"/>
  <c r="H14" i="17"/>
  <c r="F14" i="17"/>
  <c r="D14" i="17"/>
  <c r="BH13" i="17"/>
  <c r="BF13" i="17"/>
  <c r="BD13" i="17"/>
  <c r="BB13" i="17"/>
  <c r="AZ13" i="17"/>
  <c r="AX13" i="17"/>
  <c r="AV13" i="17"/>
  <c r="AS13" i="17"/>
  <c r="AQ13" i="17"/>
  <c r="AO13" i="17"/>
  <c r="AM13" i="17"/>
  <c r="AK13" i="17"/>
  <c r="AI13" i="17"/>
  <c r="AG13" i="17"/>
  <c r="AE13" i="17"/>
  <c r="AC13" i="17"/>
  <c r="AA13" i="17"/>
  <c r="Y13" i="17"/>
  <c r="W13" i="17"/>
  <c r="T13" i="17"/>
  <c r="R13" i="17"/>
  <c r="P13" i="17"/>
  <c r="N13" i="17"/>
  <c r="L13" i="17"/>
  <c r="J13" i="17"/>
  <c r="H13" i="17"/>
  <c r="F13" i="17"/>
  <c r="D13" i="17"/>
  <c r="BH12" i="17"/>
  <c r="BF12" i="17"/>
  <c r="BD12" i="17"/>
  <c r="BB12" i="17"/>
  <c r="AZ12" i="17"/>
  <c r="AX12" i="17"/>
  <c r="AV12" i="17"/>
  <c r="AS12" i="17"/>
  <c r="AQ12" i="17"/>
  <c r="AO12" i="17"/>
  <c r="AM12" i="17"/>
  <c r="AK12" i="17"/>
  <c r="AI12" i="17"/>
  <c r="AG12" i="17"/>
  <c r="AE12" i="17"/>
  <c r="AC12" i="17"/>
  <c r="AA12" i="17"/>
  <c r="Y12" i="17"/>
  <c r="W12" i="17"/>
  <c r="T12" i="17"/>
  <c r="R12" i="17"/>
  <c r="P12" i="17"/>
  <c r="N12" i="17"/>
  <c r="L12" i="17"/>
  <c r="J12" i="17"/>
  <c r="H12" i="17"/>
  <c r="F12" i="17"/>
  <c r="D12" i="17"/>
  <c r="BH11" i="17"/>
  <c r="BF11" i="17"/>
  <c r="BD11" i="17"/>
  <c r="BB11" i="17"/>
  <c r="AZ11" i="17"/>
  <c r="AX11" i="17"/>
  <c r="AV11" i="17"/>
  <c r="AS11" i="17"/>
  <c r="AQ11" i="17"/>
  <c r="AO11" i="17"/>
  <c r="AM11" i="17"/>
  <c r="AK11" i="17"/>
  <c r="AI11" i="17"/>
  <c r="AG11" i="17"/>
  <c r="AE11" i="17"/>
  <c r="AC11" i="17"/>
  <c r="AA11" i="17"/>
  <c r="Y11" i="17"/>
  <c r="W11" i="17"/>
  <c r="T11" i="17"/>
  <c r="R11" i="17"/>
  <c r="P11" i="17"/>
  <c r="N11" i="17"/>
  <c r="L11" i="17"/>
  <c r="J11" i="17"/>
  <c r="H11" i="17"/>
  <c r="F11" i="17"/>
  <c r="D11" i="17"/>
  <c r="BH10" i="17"/>
  <c r="BF10" i="17"/>
  <c r="BD10" i="17"/>
  <c r="BB10" i="17"/>
  <c r="AX10" i="17"/>
  <c r="AV10" i="17"/>
  <c r="AS10" i="17"/>
  <c r="AQ10" i="17"/>
  <c r="AO10" i="17"/>
  <c r="AM10" i="17"/>
  <c r="AK10" i="17"/>
  <c r="AI10" i="17"/>
  <c r="AG10" i="17"/>
  <c r="AE10" i="17"/>
  <c r="AC10" i="17"/>
  <c r="AA10" i="17"/>
  <c r="Y10" i="17"/>
  <c r="W10" i="17"/>
  <c r="T10" i="17"/>
  <c r="R10" i="17"/>
  <c r="P10" i="17"/>
  <c r="N10" i="17"/>
  <c r="L10" i="17"/>
  <c r="J10" i="17"/>
  <c r="H10" i="17"/>
  <c r="F10" i="17"/>
  <c r="D10" i="17"/>
  <c r="L9" i="17"/>
  <c r="J9" i="17"/>
  <c r="H9" i="17"/>
  <c r="F9" i="17"/>
  <c r="D9" i="17"/>
  <c r="BH8" i="17"/>
  <c r="BF8" i="17"/>
  <c r="BD8" i="17"/>
  <c r="BB8" i="17"/>
  <c r="AZ8" i="17"/>
  <c r="AX8" i="17"/>
  <c r="AV8" i="17"/>
  <c r="AS8" i="17"/>
  <c r="AQ8" i="17"/>
  <c r="AO8" i="17"/>
  <c r="AM8" i="17"/>
  <c r="AK8" i="17"/>
  <c r="AI8" i="17"/>
  <c r="AG8" i="17"/>
  <c r="AE8" i="17"/>
  <c r="AC8" i="17"/>
  <c r="AA8" i="17"/>
  <c r="Y8" i="17"/>
  <c r="W8" i="17"/>
  <c r="T8" i="17"/>
  <c r="R8" i="17"/>
  <c r="P8" i="17"/>
  <c r="N8" i="17"/>
  <c r="L8" i="17"/>
  <c r="J8" i="17"/>
  <c r="H8" i="17"/>
  <c r="F8" i="17"/>
  <c r="D8" i="17"/>
  <c r="BH7" i="17"/>
  <c r="BF7" i="17"/>
  <c r="BD7" i="17"/>
  <c r="BB7" i="17"/>
  <c r="AZ7" i="17"/>
  <c r="AX7" i="17"/>
  <c r="AV7" i="17"/>
  <c r="AS7" i="17"/>
  <c r="AQ7" i="17"/>
  <c r="AO7" i="17"/>
  <c r="AM7" i="17"/>
  <c r="AK7" i="17"/>
  <c r="AI7" i="17"/>
  <c r="AG7" i="17"/>
  <c r="AE7" i="17"/>
  <c r="AC7" i="17"/>
  <c r="AA7" i="17"/>
  <c r="Y7" i="17"/>
  <c r="W7" i="17"/>
  <c r="T7" i="17"/>
  <c r="R7" i="17"/>
  <c r="P7" i="17"/>
  <c r="N7" i="17"/>
  <c r="L7" i="17"/>
  <c r="J7" i="17"/>
  <c r="H7" i="17"/>
  <c r="F7" i="17"/>
  <c r="D7" i="17"/>
  <c r="U9" i="17" l="1"/>
  <c r="W16" i="17"/>
  <c r="AT14" i="17"/>
  <c r="BK14" i="17" s="1"/>
  <c r="BM14" i="17" s="1"/>
  <c r="BI8" i="17"/>
  <c r="BL8" i="17" s="1"/>
  <c r="AZ16" i="17"/>
  <c r="D16" i="17"/>
  <c r="AT8" i="17"/>
  <c r="BK8" i="17" s="1"/>
  <c r="AQ16" i="17"/>
  <c r="AT11" i="17"/>
  <c r="BK11" i="17" s="1"/>
  <c r="AT13" i="17"/>
  <c r="BK13" i="17" s="1"/>
  <c r="BI15" i="17"/>
  <c r="BL15" i="17" s="1"/>
  <c r="BI11" i="17"/>
  <c r="BL11" i="17" s="1"/>
  <c r="J16" i="17"/>
  <c r="L16" i="17"/>
  <c r="U8" i="17"/>
  <c r="BJ8" i="17" s="1"/>
  <c r="AT15" i="17"/>
  <c r="BK15" i="17" s="1"/>
  <c r="AT12" i="17"/>
  <c r="BK12" i="17" s="1"/>
  <c r="AC16" i="17"/>
  <c r="BB16" i="17"/>
  <c r="BI12" i="17"/>
  <c r="BL12" i="17" s="1"/>
  <c r="BD16" i="17"/>
  <c r="T16" i="17"/>
  <c r="BI13" i="17"/>
  <c r="BL13" i="17" s="1"/>
  <c r="BH16" i="17"/>
  <c r="AM16" i="17"/>
  <c r="AT10" i="17"/>
  <c r="BK10" i="17" s="1"/>
  <c r="Y16" i="17"/>
  <c r="BK9" i="17"/>
  <c r="BI10" i="17"/>
  <c r="BL10" i="17" s="1"/>
  <c r="BI9" i="17"/>
  <c r="BL9" i="17" s="1"/>
  <c r="BF16" i="17"/>
  <c r="AX16" i="17"/>
  <c r="AV16" i="17"/>
  <c r="AS16" i="17"/>
  <c r="AO16" i="17"/>
  <c r="AK16" i="17"/>
  <c r="AI16" i="17"/>
  <c r="AG16" i="17"/>
  <c r="AE16" i="17"/>
  <c r="AA16" i="17"/>
  <c r="P16" i="17"/>
  <c r="N16" i="17"/>
  <c r="U10" i="17"/>
  <c r="BJ10" i="17" s="1"/>
  <c r="U11" i="17"/>
  <c r="BJ11" i="17" s="1"/>
  <c r="U15" i="17"/>
  <c r="BJ15" i="17" s="1"/>
  <c r="H16" i="17"/>
  <c r="U7" i="17"/>
  <c r="BJ9" i="17"/>
  <c r="U12" i="17"/>
  <c r="BJ12" i="17" s="1"/>
  <c r="U13" i="17"/>
  <c r="BJ13" i="17" s="1"/>
  <c r="F16" i="17"/>
  <c r="AT7" i="17"/>
  <c r="BK7" i="17" s="1"/>
  <c r="BI7" i="17"/>
  <c r="R16" i="17"/>
  <c r="BM15" i="17" l="1"/>
  <c r="BM11" i="17"/>
  <c r="BM8" i="17"/>
  <c r="BM12" i="17"/>
  <c r="BM13" i="17"/>
  <c r="BM10" i="17"/>
  <c r="BM9" i="17"/>
  <c r="AT16" i="17"/>
  <c r="BK16" i="17"/>
  <c r="U16" i="17"/>
  <c r="BJ7" i="17"/>
  <c r="BJ16" i="17" s="1"/>
  <c r="BI16" i="17"/>
  <c r="BL7" i="17"/>
  <c r="BL16" i="17" s="1"/>
  <c r="BM7" i="17" l="1"/>
  <c r="BM16" i="17" s="1"/>
  <c r="I91" i="16" l="1"/>
  <c r="I85" i="16"/>
  <c r="I84" i="16"/>
  <c r="I83" i="16"/>
  <c r="I81" i="16"/>
  <c r="I82" i="16"/>
  <c r="I80" i="16"/>
  <c r="I79" i="16"/>
  <c r="I65" i="16"/>
  <c r="I64" i="16"/>
  <c r="I62" i="16"/>
  <c r="I57" i="16"/>
  <c r="I50" i="16"/>
  <c r="I27" i="16"/>
  <c r="I28" i="16" l="1"/>
  <c r="I90" i="16"/>
  <c r="K84" i="16" l="1"/>
  <c r="M84" i="16" s="1"/>
  <c r="K85" i="16"/>
  <c r="K81" i="16"/>
  <c r="O81" i="16" s="1"/>
  <c r="K83" i="16"/>
  <c r="M83" i="16" s="1"/>
  <c r="O83" i="16" s="1"/>
  <c r="K65" i="16"/>
  <c r="M65" i="16" s="1"/>
  <c r="O65" i="16" s="1"/>
  <c r="K64" i="16"/>
  <c r="M64" i="16" s="1"/>
  <c r="O64" i="16" s="1"/>
  <c r="K62" i="16"/>
  <c r="M62" i="16" s="1"/>
  <c r="O62" i="16" s="1"/>
  <c r="U62" i="16" s="1"/>
  <c r="K57" i="16"/>
  <c r="Y81" i="16"/>
  <c r="K91" i="16"/>
  <c r="K82" i="16"/>
  <c r="M82" i="16" s="1"/>
  <c r="I70" i="16"/>
  <c r="K80" i="16"/>
  <c r="M80" i="16" s="1"/>
  <c r="O80" i="16" s="1"/>
  <c r="U80" i="16" s="1"/>
  <c r="K79" i="16"/>
  <c r="M79" i="16" s="1"/>
  <c r="K50" i="16"/>
  <c r="K27" i="16"/>
  <c r="E28" i="10"/>
  <c r="J34" i="10"/>
  <c r="H34" i="10"/>
  <c r="G29" i="10"/>
  <c r="G25" i="10"/>
  <c r="I25" i="10" s="1"/>
  <c r="G20" i="10"/>
  <c r="I20" i="10" s="1"/>
  <c r="G33" i="10"/>
  <c r="I33" i="10" s="1"/>
  <c r="E22" i="10"/>
  <c r="G21" i="10"/>
  <c r="I21" i="10" s="1"/>
  <c r="E19" i="10"/>
  <c r="G19" i="10" s="1"/>
  <c r="G24" i="10"/>
  <c r="E23" i="10"/>
  <c r="G23" i="10" s="1"/>
  <c r="I23" i="10" s="1"/>
  <c r="K23" i="10" s="1"/>
  <c r="G32" i="10"/>
  <c r="I32" i="10" s="1"/>
  <c r="K32" i="10" s="1"/>
  <c r="I53" i="15"/>
  <c r="G53" i="15"/>
  <c r="F53" i="15"/>
  <c r="N40" i="15"/>
  <c r="M40" i="15"/>
  <c r="L40" i="15"/>
  <c r="K40" i="15"/>
  <c r="I40" i="15"/>
  <c r="G40" i="15"/>
  <c r="AK39" i="15"/>
  <c r="AJ39" i="15"/>
  <c r="AI39" i="15"/>
  <c r="AH39" i="15"/>
  <c r="AG39" i="15"/>
  <c r="E38" i="15"/>
  <c r="F37" i="15"/>
  <c r="H37" i="15" s="1"/>
  <c r="E36" i="15"/>
  <c r="F36" i="15" s="1"/>
  <c r="F35" i="15"/>
  <c r="H35" i="15" s="1"/>
  <c r="F34" i="15"/>
  <c r="H34" i="15" s="1"/>
  <c r="F33" i="15"/>
  <c r="H33" i="15" s="1"/>
  <c r="F32" i="15"/>
  <c r="H32" i="15" s="1"/>
  <c r="F31" i="15"/>
  <c r="H31" i="15" s="1"/>
  <c r="H30" i="15"/>
  <c r="F29" i="15"/>
  <c r="H29" i="15" s="1"/>
  <c r="F28" i="15"/>
  <c r="H28" i="15" s="1"/>
  <c r="F27" i="15"/>
  <c r="H27" i="15" s="1"/>
  <c r="F26" i="15"/>
  <c r="H26" i="15" s="1"/>
  <c r="F25" i="15"/>
  <c r="O25" i="15" s="1"/>
  <c r="F24" i="15"/>
  <c r="O24" i="15" s="1"/>
  <c r="F23" i="15"/>
  <c r="O23" i="15" s="1"/>
  <c r="F22" i="15"/>
  <c r="AK22" i="15" s="1"/>
  <c r="E21" i="15"/>
  <c r="P20" i="15"/>
  <c r="F20" i="15"/>
  <c r="O20" i="15" s="1"/>
  <c r="AK19" i="15"/>
  <c r="AJ19" i="15"/>
  <c r="AI19" i="15"/>
  <c r="AH19" i="15"/>
  <c r="AG19" i="15"/>
  <c r="E19" i="15"/>
  <c r="E53" i="15" s="1"/>
  <c r="E17" i="15"/>
  <c r="F17" i="15" s="1"/>
  <c r="O17" i="15" s="1"/>
  <c r="AK16" i="15"/>
  <c r="AJ16" i="15"/>
  <c r="AI16" i="15"/>
  <c r="AH16" i="15"/>
  <c r="AG16" i="15"/>
  <c r="I29" i="10"/>
  <c r="K29" i="10" s="1"/>
  <c r="S29" i="10" s="1"/>
  <c r="E16" i="10"/>
  <c r="E17" i="10" s="1"/>
  <c r="G31" i="10"/>
  <c r="I31" i="10" s="1"/>
  <c r="K31" i="10" s="1"/>
  <c r="Q31" i="10" s="1"/>
  <c r="G30" i="10"/>
  <c r="I30" i="10" s="1"/>
  <c r="G22" i="10"/>
  <c r="G26" i="10"/>
  <c r="I26" i="10" s="1"/>
  <c r="K26" i="10" s="1"/>
  <c r="G27" i="10"/>
  <c r="I27" i="10" s="1"/>
  <c r="K27" i="10" s="1"/>
  <c r="G28" i="10"/>
  <c r="I28" i="10" s="1"/>
  <c r="K28" i="10" s="1"/>
  <c r="Q28" i="10" s="1"/>
  <c r="G18" i="10"/>
  <c r="H61" i="6"/>
  <c r="G61" i="6"/>
  <c r="F61" i="6"/>
  <c r="E61" i="6"/>
  <c r="H46" i="6"/>
  <c r="G46" i="6"/>
  <c r="F46" i="6"/>
  <c r="E46" i="6"/>
  <c r="H42" i="7"/>
  <c r="S42" i="7" s="1"/>
  <c r="H45" i="7"/>
  <c r="H57" i="7"/>
  <c r="C26" i="6" s="1"/>
  <c r="U57" i="7"/>
  <c r="H55" i="7"/>
  <c r="C25" i="6" s="1"/>
  <c r="I44" i="6" s="1"/>
  <c r="H54" i="7"/>
  <c r="C24" i="6" s="1"/>
  <c r="S44" i="7"/>
  <c r="S55" i="7" s="1"/>
  <c r="I44" i="7"/>
  <c r="I55" i="7" s="1"/>
  <c r="S43" i="7"/>
  <c r="T43" i="7" s="1"/>
  <c r="T54" i="7" s="1"/>
  <c r="U54" i="7" s="1"/>
  <c r="I43" i="7"/>
  <c r="I54" i="7" s="1"/>
  <c r="H37" i="7"/>
  <c r="H52" i="7" s="1"/>
  <c r="S36" i="7"/>
  <c r="T36" i="7" s="1"/>
  <c r="I36" i="7"/>
  <c r="S35" i="7"/>
  <c r="T35" i="7" s="1"/>
  <c r="I35" i="7"/>
  <c r="S34" i="7"/>
  <c r="T34" i="7" s="1"/>
  <c r="I34" i="7"/>
  <c r="S33" i="7"/>
  <c r="T33" i="7" s="1"/>
  <c r="I33" i="7"/>
  <c r="S24" i="7"/>
  <c r="R24" i="7"/>
  <c r="Q24" i="7"/>
  <c r="P24" i="7"/>
  <c r="I24" i="7"/>
  <c r="S23" i="7"/>
  <c r="R23" i="7"/>
  <c r="Q23" i="7"/>
  <c r="P23" i="7"/>
  <c r="I23" i="7"/>
  <c r="S22" i="7"/>
  <c r="R22" i="7"/>
  <c r="Q22" i="7"/>
  <c r="P22" i="7"/>
  <c r="I22" i="7"/>
  <c r="S21" i="7"/>
  <c r="R21" i="7"/>
  <c r="Q21" i="7"/>
  <c r="P21" i="7"/>
  <c r="I21" i="7"/>
  <c r="S20" i="7"/>
  <c r="R20" i="7"/>
  <c r="Q20" i="7"/>
  <c r="P20" i="7"/>
  <c r="I20" i="7"/>
  <c r="T19" i="7"/>
  <c r="I19" i="7"/>
  <c r="S18" i="7"/>
  <c r="R18" i="7"/>
  <c r="Q18" i="7"/>
  <c r="P18" i="7"/>
  <c r="I18" i="7"/>
  <c r="S17" i="7"/>
  <c r="R17" i="7"/>
  <c r="Q17" i="7"/>
  <c r="P17" i="7"/>
  <c r="I17" i="7"/>
  <c r="S16" i="7"/>
  <c r="R16" i="7"/>
  <c r="Q16" i="7"/>
  <c r="P16" i="7"/>
  <c r="I16" i="7"/>
  <c r="S15" i="7"/>
  <c r="R15" i="7"/>
  <c r="Q15" i="7"/>
  <c r="P15" i="7"/>
  <c r="I15" i="7"/>
  <c r="R14" i="7"/>
  <c r="Q14" i="7"/>
  <c r="P14" i="7"/>
  <c r="I14" i="7"/>
  <c r="H13" i="7"/>
  <c r="H12" i="7" s="1"/>
  <c r="H25" i="7" s="1"/>
  <c r="H26" i="7" s="1"/>
  <c r="G13" i="7"/>
  <c r="G12" i="7"/>
  <c r="G25" i="7" s="1"/>
  <c r="G26" i="7" s="1"/>
  <c r="F13" i="7"/>
  <c r="F12" i="7" s="1"/>
  <c r="F25" i="7" s="1"/>
  <c r="F26" i="7" s="1"/>
  <c r="E13" i="7"/>
  <c r="E12" i="7" s="1"/>
  <c r="E25" i="7" s="1"/>
  <c r="E26" i="7" s="1"/>
  <c r="S11" i="7"/>
  <c r="R11" i="7"/>
  <c r="Q11" i="7"/>
  <c r="P11" i="7"/>
  <c r="I11" i="7"/>
  <c r="S10" i="7"/>
  <c r="R10" i="7"/>
  <c r="Q10" i="7"/>
  <c r="P10" i="7"/>
  <c r="I10" i="7"/>
  <c r="S9" i="7"/>
  <c r="R9" i="7"/>
  <c r="Q9" i="7"/>
  <c r="P9" i="7"/>
  <c r="I9" i="7"/>
  <c r="S8" i="7"/>
  <c r="R8" i="7"/>
  <c r="Q8" i="7"/>
  <c r="P8" i="7"/>
  <c r="I8" i="7"/>
  <c r="F129" i="6"/>
  <c r="K83" i="6"/>
  <c r="H83" i="6"/>
  <c r="I39" i="6"/>
  <c r="I48" i="6" s="1"/>
  <c r="R13" i="7"/>
  <c r="F122" i="4"/>
  <c r="H76" i="4"/>
  <c r="K76" i="4"/>
  <c r="C25" i="4"/>
  <c r="I42" i="4" s="1"/>
  <c r="C24" i="4"/>
  <c r="I41" i="4" s="1"/>
  <c r="I53" i="4" s="1"/>
  <c r="C90" i="4" s="1"/>
  <c r="H90" i="4" s="1"/>
  <c r="I38" i="4"/>
  <c r="I50" i="4" s="1"/>
  <c r="E43" i="4"/>
  <c r="F43" i="4"/>
  <c r="G43" i="4"/>
  <c r="H43" i="4"/>
  <c r="E55" i="4"/>
  <c r="F55" i="4"/>
  <c r="G55" i="4"/>
  <c r="H55" i="4"/>
  <c r="T56" i="4"/>
  <c r="H39" i="6"/>
  <c r="H54" i="6" s="1"/>
  <c r="C23" i="4"/>
  <c r="I40" i="4" s="1"/>
  <c r="F39" i="6"/>
  <c r="F54" i="6" s="1"/>
  <c r="G38" i="4"/>
  <c r="G50" i="4" s="1"/>
  <c r="G39" i="6"/>
  <c r="G54" i="6" s="1"/>
  <c r="E38" i="4"/>
  <c r="E39" i="6"/>
  <c r="E54" i="6" s="1"/>
  <c r="H38" i="4"/>
  <c r="H50" i="4" s="1"/>
  <c r="F38" i="4"/>
  <c r="F50" i="4" s="1"/>
  <c r="C14" i="6"/>
  <c r="C31" i="6" s="1"/>
  <c r="C14" i="4"/>
  <c r="C30" i="4" s="1"/>
  <c r="G38" i="6"/>
  <c r="C9" i="4"/>
  <c r="F38" i="6"/>
  <c r="F53" i="6" s="1"/>
  <c r="F63" i="6" s="1"/>
  <c r="C13" i="6"/>
  <c r="C30" i="6" s="1"/>
  <c r="G37" i="4"/>
  <c r="G44" i="4" s="1"/>
  <c r="C13" i="4"/>
  <c r="C29" i="4" s="1"/>
  <c r="F37" i="4"/>
  <c r="F49" i="4" s="1"/>
  <c r="F56" i="4" s="1"/>
  <c r="C12" i="4"/>
  <c r="E37" i="4"/>
  <c r="C37" i="4" s="1"/>
  <c r="C49" i="4" s="1"/>
  <c r="I61" i="4" s="1"/>
  <c r="C12" i="6"/>
  <c r="C29" i="6" s="1"/>
  <c r="C34" i="6" s="1"/>
  <c r="E38" i="6"/>
  <c r="E48" i="6" s="1"/>
  <c r="C15" i="4"/>
  <c r="C31" i="4" s="1"/>
  <c r="C15" i="6"/>
  <c r="C32" i="6" s="1"/>
  <c r="H37" i="4"/>
  <c r="H44" i="4" s="1"/>
  <c r="H38" i="6"/>
  <c r="H48" i="6" s="1"/>
  <c r="C20" i="4"/>
  <c r="C26" i="4" s="1"/>
  <c r="D20" i="4" s="1"/>
  <c r="C7" i="4"/>
  <c r="C7" i="6"/>
  <c r="C20" i="6"/>
  <c r="C27" i="6" s="1"/>
  <c r="S37" i="7"/>
  <c r="S52" i="7" s="1"/>
  <c r="G53" i="6"/>
  <c r="G63" i="6" s="1"/>
  <c r="C102" i="6" s="1"/>
  <c r="G48" i="6"/>
  <c r="H53" i="7"/>
  <c r="C23" i="6" s="1"/>
  <c r="I42" i="6" s="1"/>
  <c r="I42" i="7"/>
  <c r="I18" i="10"/>
  <c r="K18" i="10" s="1"/>
  <c r="Q18" i="10" s="1"/>
  <c r="I24" i="10"/>
  <c r="K24" i="10" s="1"/>
  <c r="Q24" i="10" s="1"/>
  <c r="S27" i="10"/>
  <c r="T10" i="7" l="1"/>
  <c r="R12" i="7"/>
  <c r="T14" i="7"/>
  <c r="H25" i="15"/>
  <c r="K25" i="10"/>
  <c r="P13" i="7"/>
  <c r="H24" i="15"/>
  <c r="T16" i="7"/>
  <c r="S13" i="7"/>
  <c r="S12" i="7" s="1"/>
  <c r="S25" i="7" s="1"/>
  <c r="S26" i="7" s="1"/>
  <c r="T24" i="7"/>
  <c r="H20" i="15"/>
  <c r="E16" i="15"/>
  <c r="P17" i="15"/>
  <c r="R17" i="15" s="1"/>
  <c r="Q27" i="10"/>
  <c r="U27" i="10" s="1"/>
  <c r="I46" i="7"/>
  <c r="I22" i="10"/>
  <c r="K22" i="10" s="1"/>
  <c r="E49" i="4"/>
  <c r="J61" i="4" s="1"/>
  <c r="I54" i="6"/>
  <c r="I63" i="6" s="1"/>
  <c r="T8" i="7"/>
  <c r="S53" i="7"/>
  <c r="S46" i="7"/>
  <c r="E44" i="4"/>
  <c r="Q13" i="7"/>
  <c r="Q12" i="7" s="1"/>
  <c r="Q25" i="7" s="1"/>
  <c r="Q26" i="7" s="1"/>
  <c r="C17" i="6"/>
  <c r="I44" i="4"/>
  <c r="C21" i="6"/>
  <c r="D21" i="6" s="1"/>
  <c r="H46" i="7"/>
  <c r="H23" i="15"/>
  <c r="C42" i="4"/>
  <c r="C54" i="4" s="1"/>
  <c r="I75" i="4" s="1"/>
  <c r="H75" i="4" s="1"/>
  <c r="I54" i="4"/>
  <c r="C91" i="4" s="1"/>
  <c r="H91" i="4" s="1"/>
  <c r="Q26" i="10"/>
  <c r="S26" i="10"/>
  <c r="I57" i="6"/>
  <c r="C96" i="6" s="1"/>
  <c r="H96" i="6" s="1"/>
  <c r="C42" i="6"/>
  <c r="C57" i="6" s="1"/>
  <c r="I80" i="6" s="1"/>
  <c r="H80" i="6" s="1"/>
  <c r="I59" i="6"/>
  <c r="C98" i="6" s="1"/>
  <c r="H98" i="6" s="1"/>
  <c r="C44" i="6"/>
  <c r="C59" i="6" s="1"/>
  <c r="I82" i="6" s="1"/>
  <c r="H82" i="6" s="1"/>
  <c r="C41" i="4"/>
  <c r="C53" i="4" s="1"/>
  <c r="I74" i="4" s="1"/>
  <c r="H74" i="4" s="1"/>
  <c r="H49" i="4"/>
  <c r="H56" i="4" s="1"/>
  <c r="C97" i="4" s="1"/>
  <c r="H97" i="4" s="1"/>
  <c r="C22" i="4"/>
  <c r="R25" i="7"/>
  <c r="R26" i="7" s="1"/>
  <c r="S31" i="10"/>
  <c r="U31" i="10" s="1"/>
  <c r="G49" i="4"/>
  <c r="G56" i="4" s="1"/>
  <c r="C95" i="4" s="1"/>
  <c r="C99" i="4" s="1"/>
  <c r="T17" i="7"/>
  <c r="E34" i="10"/>
  <c r="Q29" i="10"/>
  <c r="U29" i="10" s="1"/>
  <c r="S25" i="10"/>
  <c r="H53" i="6"/>
  <c r="H63" i="6" s="1"/>
  <c r="C104" i="6" s="1"/>
  <c r="H104" i="6" s="1"/>
  <c r="I13" i="7"/>
  <c r="I12" i="7" s="1"/>
  <c r="T11" i="7"/>
  <c r="Q25" i="10"/>
  <c r="U25" i="10" s="1"/>
  <c r="D29" i="4"/>
  <c r="D30" i="4"/>
  <c r="C39" i="6"/>
  <c r="T21" i="7"/>
  <c r="T23" i="7"/>
  <c r="T44" i="7"/>
  <c r="T55" i="7" s="1"/>
  <c r="U55" i="7" s="1"/>
  <c r="R20" i="15"/>
  <c r="P12" i="7"/>
  <c r="P25" i="7" s="1"/>
  <c r="P26" i="7" s="1"/>
  <c r="I37" i="7"/>
  <c r="I52" i="7" s="1"/>
  <c r="K21" i="10"/>
  <c r="Q21" i="10" s="1"/>
  <c r="S18" i="10"/>
  <c r="U18" i="10" s="1"/>
  <c r="I53" i="7"/>
  <c r="T18" i="7"/>
  <c r="T37" i="7"/>
  <c r="T52" i="7" s="1"/>
  <c r="U52" i="7" s="1"/>
  <c r="E18" i="15"/>
  <c r="T9" i="7"/>
  <c r="T15" i="7"/>
  <c r="T22" i="7"/>
  <c r="M50" i="16"/>
  <c r="O50" i="16" s="1"/>
  <c r="W50" i="16" s="1"/>
  <c r="K92" i="16"/>
  <c r="C106" i="6"/>
  <c r="H102" i="6"/>
  <c r="H106" i="6" s="1"/>
  <c r="D27" i="6"/>
  <c r="D25" i="6"/>
  <c r="D31" i="6"/>
  <c r="D23" i="6"/>
  <c r="C96" i="4"/>
  <c r="H96" i="4" s="1"/>
  <c r="C103" i="6"/>
  <c r="H103" i="6" s="1"/>
  <c r="H61" i="4"/>
  <c r="C44" i="4"/>
  <c r="D37" i="4" s="1"/>
  <c r="C17" i="4"/>
  <c r="C28" i="4"/>
  <c r="S23" i="10"/>
  <c r="Q23" i="10"/>
  <c r="K30" i="10"/>
  <c r="Q30" i="10" s="1"/>
  <c r="C54" i="6"/>
  <c r="C87" i="4"/>
  <c r="H87" i="4" s="1"/>
  <c r="I56" i="4"/>
  <c r="I19" i="10"/>
  <c r="K19" i="10" s="1"/>
  <c r="Q19" i="10" s="1"/>
  <c r="I45" i="6"/>
  <c r="D26" i="6"/>
  <c r="D34" i="6"/>
  <c r="D31" i="4"/>
  <c r="F44" i="4"/>
  <c r="I25" i="7"/>
  <c r="S28" i="10"/>
  <c r="U28" i="10" s="1"/>
  <c r="C38" i="4"/>
  <c r="E50" i="4"/>
  <c r="D118" i="4"/>
  <c r="C56" i="4"/>
  <c r="F57" i="4" s="1"/>
  <c r="S24" i="10"/>
  <c r="U24" i="10" s="1"/>
  <c r="D32" i="6"/>
  <c r="C38" i="6"/>
  <c r="E53" i="6"/>
  <c r="D30" i="6"/>
  <c r="I52" i="4"/>
  <c r="C89" i="4" s="1"/>
  <c r="H89" i="4" s="1"/>
  <c r="C40" i="4"/>
  <c r="I43" i="6"/>
  <c r="D24" i="6"/>
  <c r="M53" i="15"/>
  <c r="L53" i="15"/>
  <c r="K53" i="15"/>
  <c r="N53" i="15" s="1"/>
  <c r="D20" i="6"/>
  <c r="T42" i="7"/>
  <c r="D25" i="4"/>
  <c r="D24" i="4"/>
  <c r="D26" i="4"/>
  <c r="D29" i="6"/>
  <c r="F48" i="6"/>
  <c r="S32" i="10"/>
  <c r="Q32" i="10"/>
  <c r="K33" i="10"/>
  <c r="Q33" i="10" s="1"/>
  <c r="C16" i="4"/>
  <c r="D23" i="4"/>
  <c r="T20" i="7"/>
  <c r="S54" i="7"/>
  <c r="AH22" i="15"/>
  <c r="C10" i="4"/>
  <c r="D12" i="4" s="1"/>
  <c r="H22" i="15"/>
  <c r="K20" i="10"/>
  <c r="Q20" i="10" s="1"/>
  <c r="G16" i="10"/>
  <c r="H17" i="15"/>
  <c r="J17" i="15" s="1"/>
  <c r="O22" i="15"/>
  <c r="F40" i="15"/>
  <c r="AG22" i="15"/>
  <c r="C21" i="4"/>
  <c r="D21" i="4" s="1"/>
  <c r="AJ22" i="15"/>
  <c r="AI22" i="15"/>
  <c r="K67" i="16"/>
  <c r="M67" i="16" s="1"/>
  <c r="O67" i="16" s="1"/>
  <c r="U67" i="16" s="1"/>
  <c r="I78" i="16"/>
  <c r="I77" i="16" s="1"/>
  <c r="M92" i="16"/>
  <c r="M91" i="16"/>
  <c r="M90" i="16" s="1"/>
  <c r="K90" i="16"/>
  <c r="M57" i="16"/>
  <c r="M27" i="16"/>
  <c r="O27" i="16" s="1"/>
  <c r="K78" i="16"/>
  <c r="K77" i="16" s="1"/>
  <c r="K70" i="16"/>
  <c r="M70" i="16" s="1"/>
  <c r="I67" i="16"/>
  <c r="O79" i="16"/>
  <c r="W79" i="16" s="1"/>
  <c r="O82" i="16"/>
  <c r="U82" i="16" s="1"/>
  <c r="W80" i="16"/>
  <c r="Y80" i="16" s="1"/>
  <c r="W62" i="16"/>
  <c r="Y62" i="16" s="1"/>
  <c r="K28" i="16"/>
  <c r="U83" i="16"/>
  <c r="W83" i="16"/>
  <c r="U64" i="16"/>
  <c r="W64" i="16"/>
  <c r="U65" i="16"/>
  <c r="W65" i="16"/>
  <c r="O84" i="16"/>
  <c r="U84" i="16" s="1"/>
  <c r="M85" i="16"/>
  <c r="E40" i="15" l="1"/>
  <c r="P40" i="15" s="1"/>
  <c r="Q40" i="15"/>
  <c r="O40" i="15"/>
  <c r="R40" i="15" s="1"/>
  <c r="C94" i="6"/>
  <c r="H94" i="6" s="1"/>
  <c r="E56" i="4"/>
  <c r="F121" i="4" s="1"/>
  <c r="S22" i="10"/>
  <c r="Q22" i="10"/>
  <c r="U22" i="10" s="1"/>
  <c r="H95" i="4"/>
  <c r="H99" i="4" s="1"/>
  <c r="L61" i="4"/>
  <c r="K61" i="4"/>
  <c r="T13" i="7"/>
  <c r="T12" i="7" s="1"/>
  <c r="C92" i="4"/>
  <c r="H92" i="4" s="1"/>
  <c r="D9" i="4"/>
  <c r="S33" i="10"/>
  <c r="U33" i="10" s="1"/>
  <c r="I39" i="4"/>
  <c r="D22" i="4"/>
  <c r="S21" i="10"/>
  <c r="U21" i="10" s="1"/>
  <c r="U26" i="10"/>
  <c r="U50" i="16"/>
  <c r="Y50" i="16" s="1"/>
  <c r="M28" i="16"/>
  <c r="O28" i="16" s="1"/>
  <c r="C52" i="4"/>
  <c r="D40" i="4"/>
  <c r="C50" i="4"/>
  <c r="D38" i="4"/>
  <c r="I78" i="6"/>
  <c r="D122" i="6"/>
  <c r="D123" i="6" s="1"/>
  <c r="D17" i="4"/>
  <c r="T25" i="7"/>
  <c r="S30" i="10"/>
  <c r="U30" i="10" s="1"/>
  <c r="G57" i="4"/>
  <c r="E63" i="6"/>
  <c r="J68" i="6"/>
  <c r="C92" i="6"/>
  <c r="G17" i="10"/>
  <c r="I16" i="10"/>
  <c r="C32" i="4"/>
  <c r="D32" i="4" s="1"/>
  <c r="D16" i="4"/>
  <c r="C53" i="6"/>
  <c r="C48" i="6"/>
  <c r="H68" i="6"/>
  <c r="D54" i="4"/>
  <c r="J75" i="4" s="1"/>
  <c r="K75" i="4" s="1"/>
  <c r="H45" i="4"/>
  <c r="C85" i="4"/>
  <c r="I57" i="4"/>
  <c r="U23" i="10"/>
  <c r="C57" i="4"/>
  <c r="H57" i="4"/>
  <c r="E57" i="4"/>
  <c r="D53" i="4"/>
  <c r="J74" i="4" s="1"/>
  <c r="K74" i="4" s="1"/>
  <c r="I60" i="6"/>
  <c r="C45" i="6"/>
  <c r="G45" i="4"/>
  <c r="D41" i="4"/>
  <c r="D42" i="4"/>
  <c r="D44" i="4"/>
  <c r="I45" i="4"/>
  <c r="C45" i="4"/>
  <c r="D49" i="4"/>
  <c r="D56" i="4" s="1"/>
  <c r="I26" i="7"/>
  <c r="I51" i="7" s="1"/>
  <c r="H51" i="7"/>
  <c r="E45" i="4"/>
  <c r="F45" i="4"/>
  <c r="D10" i="4"/>
  <c r="D15" i="4"/>
  <c r="D14" i="4"/>
  <c r="D7" i="4"/>
  <c r="D13" i="4"/>
  <c r="U32" i="10"/>
  <c r="T46" i="7"/>
  <c r="T53" i="7"/>
  <c r="U53" i="7" s="1"/>
  <c r="C43" i="6"/>
  <c r="I58" i="6"/>
  <c r="C97" i="6" s="1"/>
  <c r="H97" i="6" s="1"/>
  <c r="S19" i="10"/>
  <c r="U19" i="10" s="1"/>
  <c r="C33" i="4"/>
  <c r="D33" i="4" s="1"/>
  <c r="D28" i="4"/>
  <c r="S20" i="10"/>
  <c r="U20" i="10" s="1"/>
  <c r="M78" i="16"/>
  <c r="M77" i="16" s="1"/>
  <c r="O57" i="16"/>
  <c r="O91" i="16"/>
  <c r="O90" i="16" s="1"/>
  <c r="O70" i="16"/>
  <c r="U70" i="16" s="1"/>
  <c r="U79" i="16"/>
  <c r="Y79" i="16" s="1"/>
  <c r="W84" i="16"/>
  <c r="Y84" i="16" s="1"/>
  <c r="W82" i="16"/>
  <c r="Y82" i="16" s="1"/>
  <c r="Y64" i="16"/>
  <c r="Y65" i="16"/>
  <c r="Y83" i="16"/>
  <c r="W67" i="16"/>
  <c r="Y67" i="16" s="1"/>
  <c r="O85" i="16"/>
  <c r="U85" i="16" s="1"/>
  <c r="I43" i="4" l="1"/>
  <c r="I51" i="4"/>
  <c r="C39" i="4"/>
  <c r="U28" i="16"/>
  <c r="W28" i="16"/>
  <c r="O92" i="16"/>
  <c r="D45" i="6"/>
  <c r="C60" i="6"/>
  <c r="I68" i="6"/>
  <c r="D125" i="6"/>
  <c r="C63" i="6"/>
  <c r="D53" i="6" s="1"/>
  <c r="H92" i="6"/>
  <c r="C101" i="6"/>
  <c r="C107" i="6" s="1"/>
  <c r="I71" i="4"/>
  <c r="D50" i="4"/>
  <c r="J71" i="4" s="1"/>
  <c r="D115" i="4"/>
  <c r="D116" i="4" s="1"/>
  <c r="I56" i="7"/>
  <c r="H56" i="7" s="1"/>
  <c r="H78" i="6"/>
  <c r="K68" i="6"/>
  <c r="L68" i="6"/>
  <c r="S51" i="7"/>
  <c r="T26" i="7"/>
  <c r="T51" i="7" s="1"/>
  <c r="C49" i="6"/>
  <c r="I49" i="6"/>
  <c r="C50" i="6"/>
  <c r="G49" i="6"/>
  <c r="D48" i="6"/>
  <c r="D44" i="6"/>
  <c r="E49" i="6"/>
  <c r="D42" i="6"/>
  <c r="D39" i="6"/>
  <c r="H49" i="6"/>
  <c r="C94" i="4"/>
  <c r="C100" i="4" s="1"/>
  <c r="H85" i="4"/>
  <c r="I17" i="10"/>
  <c r="I34" i="10" s="1"/>
  <c r="C99" i="6"/>
  <c r="H99" i="6" s="1"/>
  <c r="F128" i="6"/>
  <c r="D38" i="6"/>
  <c r="K16" i="10"/>
  <c r="C58" i="6"/>
  <c r="D43" i="6"/>
  <c r="H58" i="7"/>
  <c r="G34" i="10"/>
  <c r="F49" i="6"/>
  <c r="D52" i="4"/>
  <c r="J73" i="4" s="1"/>
  <c r="K73" i="4" s="1"/>
  <c r="I73" i="4"/>
  <c r="H73" i="4" s="1"/>
  <c r="O78" i="16"/>
  <c r="O77" i="16" s="1"/>
  <c r="W57" i="16"/>
  <c r="U57" i="16"/>
  <c r="W70" i="16"/>
  <c r="Y70" i="16" s="1"/>
  <c r="U91" i="16"/>
  <c r="W91" i="16"/>
  <c r="U27" i="16"/>
  <c r="W27" i="16"/>
  <c r="W85" i="16"/>
  <c r="Y85" i="16" s="1"/>
  <c r="C51" i="4" l="1"/>
  <c r="C43" i="4"/>
  <c r="D43" i="4" s="1"/>
  <c r="D39" i="4"/>
  <c r="I55" i="4"/>
  <c r="C88" i="4"/>
  <c r="H88" i="4" s="1"/>
  <c r="E64" i="6"/>
  <c r="Y28" i="16"/>
  <c r="H101" i="6"/>
  <c r="H107" i="6" s="1"/>
  <c r="G127" i="6"/>
  <c r="G128" i="6" s="1"/>
  <c r="G129" i="6" s="1"/>
  <c r="I58" i="7"/>
  <c r="D63" i="6"/>
  <c r="C64" i="6"/>
  <c r="G64" i="6"/>
  <c r="D57" i="6"/>
  <c r="J80" i="6" s="1"/>
  <c r="K80" i="6" s="1"/>
  <c r="H64" i="6"/>
  <c r="D59" i="6"/>
  <c r="J82" i="6" s="1"/>
  <c r="K82" i="6" s="1"/>
  <c r="F64" i="6"/>
  <c r="D54" i="6"/>
  <c r="J78" i="6" s="1"/>
  <c r="I64" i="6"/>
  <c r="I81" i="6"/>
  <c r="H81" i="6" s="1"/>
  <c r="D58" i="6"/>
  <c r="J81" i="6" s="1"/>
  <c r="K81" i="6" s="1"/>
  <c r="K17" i="10"/>
  <c r="Q17" i="10" s="1"/>
  <c r="C9" i="6"/>
  <c r="J25" i="7"/>
  <c r="Q16" i="10"/>
  <c r="H94" i="4"/>
  <c r="H100" i="4" s="1"/>
  <c r="G120" i="4"/>
  <c r="G121" i="4" s="1"/>
  <c r="K71" i="4"/>
  <c r="D60" i="6"/>
  <c r="T56" i="7"/>
  <c r="U51" i="7"/>
  <c r="S16" i="10"/>
  <c r="H71" i="4"/>
  <c r="Y57" i="16"/>
  <c r="U78" i="16"/>
  <c r="W78" i="16"/>
  <c r="Y91" i="16"/>
  <c r="Y27" i="16"/>
  <c r="S17" i="10" l="1"/>
  <c r="U17" i="10" s="1"/>
  <c r="C55" i="4"/>
  <c r="I72" i="4"/>
  <c r="D51" i="4"/>
  <c r="J72" i="4" s="1"/>
  <c r="C16" i="6"/>
  <c r="C22" i="6"/>
  <c r="C10" i="6"/>
  <c r="K78" i="6"/>
  <c r="H129" i="6"/>
  <c r="C129" i="6" s="1"/>
  <c r="U16" i="10"/>
  <c r="H128" i="6"/>
  <c r="C128" i="6" s="1"/>
  <c r="G122" i="4"/>
  <c r="H121" i="4"/>
  <c r="C121" i="4" s="1"/>
  <c r="S56" i="7"/>
  <c r="S58" i="7" s="1"/>
  <c r="U56" i="7"/>
  <c r="K34" i="10"/>
  <c r="T58" i="7"/>
  <c r="U58" i="7" s="1"/>
  <c r="Y78" i="16"/>
  <c r="K49" i="16"/>
  <c r="I49" i="16"/>
  <c r="K72" i="4" l="1"/>
  <c r="J70" i="4"/>
  <c r="H72" i="4"/>
  <c r="I70" i="4"/>
  <c r="D55" i="4"/>
  <c r="D117" i="4"/>
  <c r="D119" i="4" s="1"/>
  <c r="F120" i="4" s="1"/>
  <c r="M49" i="16"/>
  <c r="O49" i="16" s="1"/>
  <c r="D14" i="6"/>
  <c r="D7" i="6"/>
  <c r="D17" i="6"/>
  <c r="D10" i="6"/>
  <c r="D13" i="6"/>
  <c r="D12" i="6"/>
  <c r="D15" i="6"/>
  <c r="H122" i="4"/>
  <c r="C122" i="4" s="1"/>
  <c r="I41" i="6"/>
  <c r="D22" i="6"/>
  <c r="D9" i="6"/>
  <c r="C33" i="6"/>
  <c r="D33" i="6" s="1"/>
  <c r="D16" i="6"/>
  <c r="H120" i="4" l="1"/>
  <c r="C120" i="4" s="1"/>
  <c r="H70" i="4"/>
  <c r="I77" i="4"/>
  <c r="H77" i="4" s="1"/>
  <c r="J77" i="4"/>
  <c r="K77" i="4" s="1"/>
  <c r="K70" i="4"/>
  <c r="I56" i="6"/>
  <c r="C41" i="6"/>
  <c r="I46" i="6"/>
  <c r="C46" i="6" l="1"/>
  <c r="D46" i="6" s="1"/>
  <c r="D41" i="6"/>
  <c r="C56" i="6"/>
  <c r="C95" i="6"/>
  <c r="H95" i="6" s="1"/>
  <c r="I61" i="6"/>
  <c r="I79" i="6" l="1"/>
  <c r="C61" i="6"/>
  <c r="D56" i="6"/>
  <c r="J79" i="6" s="1"/>
  <c r="K79" i="6" l="1"/>
  <c r="J77" i="6"/>
  <c r="D124" i="6"/>
  <c r="D126" i="6" s="1"/>
  <c r="F127" i="6" s="1"/>
  <c r="D61" i="6"/>
  <c r="H79" i="6"/>
  <c r="I77" i="6"/>
  <c r="H127" i="6" l="1"/>
  <c r="C127" i="6" s="1"/>
  <c r="K77" i="6"/>
  <c r="J84" i="6"/>
  <c r="K84" i="6" s="1"/>
  <c r="H77" i="6"/>
  <c r="I84" i="6"/>
  <c r="H84" i="6" s="1"/>
  <c r="I37" i="16" l="1"/>
  <c r="I36" i="16"/>
  <c r="I38" i="16"/>
  <c r="K38" i="16"/>
  <c r="N38" i="16" s="1"/>
  <c r="K36" i="16"/>
  <c r="K37" i="16"/>
  <c r="K35" i="16"/>
  <c r="I35" i="16"/>
  <c r="M36" i="16" l="1"/>
  <c r="O36" i="16" s="1"/>
  <c r="M37" i="16"/>
  <c r="O37" i="16" s="1"/>
  <c r="M35" i="16"/>
  <c r="O35" i="16" s="1"/>
  <c r="K41" i="16"/>
  <c r="I41" i="16"/>
  <c r="K40" i="16"/>
  <c r="I40" i="16"/>
  <c r="O38" i="16" l="1"/>
  <c r="N26" i="16"/>
  <c r="N25" i="16" s="1"/>
  <c r="N96" i="16" s="1"/>
  <c r="O40" i="16"/>
  <c r="M41" i="16"/>
  <c r="O41" i="16" s="1"/>
  <c r="K26" i="16" l="1"/>
  <c r="M26" i="16"/>
  <c r="O26" i="16" l="1"/>
  <c r="K59" i="16" l="1"/>
  <c r="I59" i="16"/>
  <c r="H54" i="16" l="1"/>
  <c r="I76" i="16"/>
  <c r="I55" i="16" s="1"/>
  <c r="K76" i="16"/>
  <c r="K55" i="16" s="1"/>
  <c r="K54" i="16" s="1"/>
  <c r="K25" i="16" s="1"/>
  <c r="M59" i="16"/>
  <c r="I54" i="16" l="1"/>
  <c r="I25" i="16" s="1"/>
  <c r="H25" i="16"/>
  <c r="M76" i="16"/>
  <c r="M55" i="16" s="1"/>
  <c r="M54" i="16" s="1"/>
  <c r="M25" i="16" s="1"/>
  <c r="O59" i="16"/>
  <c r="O76" i="16" l="1"/>
  <c r="O55" i="16" s="1"/>
  <c r="O54" i="16" s="1"/>
  <c r="O25" i="16" s="1"/>
  <c r="U59" i="16"/>
  <c r="W59" i="16"/>
  <c r="Y59" i="16" l="1"/>
  <c r="H19" i="16" l="1"/>
  <c r="H18" i="16" l="1"/>
  <c r="H96" i="16" s="1"/>
  <c r="I19" i="16"/>
  <c r="K19" i="16"/>
  <c r="I18" i="16" l="1"/>
  <c r="I96" i="16" s="1"/>
  <c r="K18" i="16"/>
  <c r="K96" i="16" s="1"/>
  <c r="M19" i="16"/>
  <c r="O19" i="16" s="1"/>
  <c r="O18" i="16" l="1"/>
  <c r="O96" i="16" s="1"/>
  <c r="U19" i="16"/>
  <c r="M18" i="16"/>
  <c r="M96" i="16" s="1"/>
  <c r="W19" i="16"/>
  <c r="Y19" i="16" l="1"/>
</calcChain>
</file>

<file path=xl/comments1.xml><?xml version="1.0" encoding="utf-8"?>
<comments xmlns="http://schemas.openxmlformats.org/spreadsheetml/2006/main">
  <authors>
    <author>Usuario de Windows</author>
  </authors>
  <commentList>
    <comment ref="D21" authorId="0" shapeId="0">
      <text>
        <r>
          <rPr>
            <b/>
            <sz val="9"/>
            <color indexed="81"/>
            <rFont val="Tahoma"/>
            <family val="2"/>
          </rPr>
          <t>Usuario de Windows:</t>
        </r>
        <r>
          <rPr>
            <sz val="9"/>
            <color indexed="81"/>
            <rFont val="Tahoma"/>
            <family val="2"/>
          </rPr>
          <t xml:space="preserve">
fuente matriz de marco lógico
</t>
        </r>
      </text>
    </comment>
  </commentList>
</comments>
</file>

<file path=xl/comments2.xml><?xml version="1.0" encoding="utf-8"?>
<comments xmlns="http://schemas.openxmlformats.org/spreadsheetml/2006/main">
  <authors>
    <author>Usuario de Windows</author>
  </authors>
  <commentList>
    <comment ref="D23" authorId="0" shapeId="0">
      <text>
        <r>
          <rPr>
            <b/>
            <sz val="9"/>
            <color indexed="81"/>
            <rFont val="Tahoma"/>
            <family val="2"/>
          </rPr>
          <t>Usuario de Windows:</t>
        </r>
        <r>
          <rPr>
            <sz val="9"/>
            <color indexed="81"/>
            <rFont val="Tahoma"/>
            <family val="2"/>
          </rPr>
          <t xml:space="preserve">
fuente matriz de marco lógico
</t>
        </r>
      </text>
    </comment>
  </commentList>
</comments>
</file>

<file path=xl/sharedStrings.xml><?xml version="1.0" encoding="utf-8"?>
<sst xmlns="http://schemas.openxmlformats.org/spreadsheetml/2006/main" count="2680" uniqueCount="694">
  <si>
    <t>PERÍODO COMPRENDIDO DESDE</t>
  </si>
  <si>
    <t>HASTA</t>
  </si>
  <si>
    <t>FUENTE DE FINANCIAMIENTO Y PORCENTAJE</t>
  </si>
  <si>
    <t>APORTE LOCAL GAD / EP %</t>
  </si>
  <si>
    <t>AFD %</t>
  </si>
  <si>
    <t>BDE %</t>
  </si>
  <si>
    <t>PUBLICACIÓN ANUNCIO ESPECÍFICO DE ADQUISICIÓN</t>
  </si>
  <si>
    <t>TERMINACIÓN DEL CONTRATO</t>
  </si>
  <si>
    <t>COMENTARIOS</t>
  </si>
  <si>
    <t>STATUS</t>
  </si>
  <si>
    <t>FECHAS ESTIMADAS</t>
  </si>
  <si>
    <t>DESEMBOLSOS %</t>
  </si>
  <si>
    <t>PLAZO EJECUCION</t>
  </si>
  <si>
    <t>DESEMBOLSOS AFD MONTO</t>
  </si>
  <si>
    <t>TOTAL PROYECTO</t>
  </si>
  <si>
    <t>TOTAL %</t>
  </si>
  <si>
    <t>CATEGORÍA Y DESCRIPCIÓN DEL CONTRATO DE ADQUISICIONES (PROYECTO)</t>
  </si>
  <si>
    <t>N°</t>
  </si>
  <si>
    <t>Tasa IVA%</t>
  </si>
  <si>
    <t>DESGLOSE POR FUENTE DE FINANCIAMIENTO US$</t>
  </si>
  <si>
    <t>COSTO ESTIMADO DE LA ADQUISICIÓN  US$ (incl. IVA, escalamiento, reajuste,  contingencias)</t>
  </si>
  <si>
    <t>Private loans/equity leverage ratio</t>
  </si>
  <si>
    <t>Total eligible FI leverage ratio</t>
  </si>
  <si>
    <t>Investment leverage ratio</t>
  </si>
  <si>
    <t>Total investment considered in leverage ratio</t>
  </si>
  <si>
    <t>Investment phase</t>
  </si>
  <si>
    <t>Investment phase  Technical Cooperation</t>
  </si>
  <si>
    <t>Amount of additional investment il could contribute to</t>
  </si>
  <si>
    <t>Pre-investment phase Technical Cooperation</t>
  </si>
  <si>
    <r>
      <t xml:space="preserve">Financial Leverage                   </t>
    </r>
    <r>
      <rPr>
        <b/>
        <i/>
        <sz val="10"/>
        <color theme="1"/>
        <rFont val="Arial"/>
        <family val="2"/>
      </rPr>
      <t>(R4 - Leverage Effect)                                    M€</t>
    </r>
  </si>
  <si>
    <t>x 20</t>
  </si>
  <si>
    <t>Tenor 20 years, includin a maximum grace period of 5 years</t>
  </si>
  <si>
    <t xml:space="preserve">Non concessional, ODA eligible, </t>
  </si>
  <si>
    <t>AFD loan</t>
  </si>
  <si>
    <t>Financing conditions</t>
  </si>
  <si>
    <t>* Other</t>
  </si>
  <si>
    <t>* Guarantee / insurance premia</t>
  </si>
  <si>
    <t xml:space="preserve">* Guarantee </t>
  </si>
  <si>
    <r>
      <t>* Interest rate subsidy</t>
    </r>
    <r>
      <rPr>
        <sz val="10"/>
        <color theme="1"/>
        <rFont val="Arial"/>
        <family val="2"/>
      </rPr>
      <t xml:space="preserve"> (IRS)</t>
    </r>
  </si>
  <si>
    <t xml:space="preserve">EU Additional support: </t>
  </si>
  <si>
    <t>Total financing</t>
  </si>
  <si>
    <t>Sub-total other financing</t>
  </si>
  <si>
    <t>Equity/Loan</t>
  </si>
  <si>
    <t>Other private financier(s)</t>
  </si>
  <si>
    <t>Component 1</t>
  </si>
  <si>
    <t>Investment</t>
  </si>
  <si>
    <t>own funds</t>
  </si>
  <si>
    <t>Other public financier(s): Municipalities beneficiary of the project</t>
  </si>
  <si>
    <t>IG</t>
  </si>
  <si>
    <t>Grant</t>
  </si>
  <si>
    <t>Other public financier(s): Government of Ecuador</t>
  </si>
  <si>
    <t>Loan</t>
  </si>
  <si>
    <t>Sub-total blended financing</t>
  </si>
  <si>
    <t>Components 1 &amp; 2,1 (preparatory studies)</t>
  </si>
  <si>
    <t>Lead FI: AFD</t>
  </si>
  <si>
    <t>Evaluation</t>
  </si>
  <si>
    <t>of which subcomponent 3.4: Evaluation-Audit</t>
  </si>
  <si>
    <t>Comunication</t>
  </si>
  <si>
    <t>of which subcomponent 3.3: Communication/visibility</t>
  </si>
  <si>
    <t>of which subcomponent 3.2: Program management</t>
  </si>
  <si>
    <t>of which subcomponent 3.1: Technical Assistance to GADs</t>
  </si>
  <si>
    <t>of which component 2: Pre-investment studies</t>
  </si>
  <si>
    <t>of which component 1: Investment</t>
  </si>
  <si>
    <t>Components 2.2 &amp; 2.3</t>
  </si>
  <si>
    <t>TA</t>
  </si>
  <si>
    <t xml:space="preserve">EU (Blending Facility): </t>
  </si>
  <si>
    <t>Main components financed</t>
  </si>
  <si>
    <t>Type of contribution</t>
  </si>
  <si>
    <t>Type of financing</t>
  </si>
  <si>
    <t>Amount (M€)</t>
  </si>
  <si>
    <t>Total (M€)</t>
  </si>
  <si>
    <t>Indicative budget - Financing Plan</t>
  </si>
  <si>
    <t>24 bis</t>
  </si>
  <si>
    <t>Total Project cost</t>
  </si>
  <si>
    <t xml:space="preserve">Other… </t>
  </si>
  <si>
    <t>3.4-Evaluation, audit</t>
  </si>
  <si>
    <t>3.3-Communication/ visibility</t>
  </si>
  <si>
    <t xml:space="preserve">of which Subcomponent 3.2 : Technical Cooperation -  Program management </t>
  </si>
  <si>
    <t xml:space="preserve">of which Subcomponent 3.1 : Technical Assistance to GADs </t>
  </si>
  <si>
    <t>of which Component 2 : 7 Preinvestment studies concerning a total of ~ 7 municipalities</t>
  </si>
  <si>
    <t>2- Technical Cooperation  Project (AF Annex IV)</t>
  </si>
  <si>
    <t>1-Investments: works and supplies, of which:</t>
  </si>
  <si>
    <t>% ot Total</t>
  </si>
  <si>
    <t>Total (M€)-AFD</t>
  </si>
  <si>
    <t>Total (M US$)</t>
  </si>
  <si>
    <t>Indicative budget - Project costs</t>
  </si>
  <si>
    <t>%</t>
  </si>
  <si>
    <t>Total</t>
  </si>
  <si>
    <t>S/Total Component 3</t>
  </si>
  <si>
    <t>Subcomponent 3.4: Technical Coopération :  Evaluation / Audit</t>
  </si>
  <si>
    <t xml:space="preserve">Subcomponent 3.2 : Technical Coopération -  Program management </t>
  </si>
  <si>
    <t>LAIF</t>
  </si>
  <si>
    <t>GADs (own funds)</t>
  </si>
  <si>
    <t>BdE (own funds)</t>
  </si>
  <si>
    <t>Subsidies GoE</t>
  </si>
  <si>
    <t>AFD (through BdE)</t>
  </si>
  <si>
    <t>Amount    (M€)</t>
  </si>
  <si>
    <t>Cost estimate of the Project &amp; Financing: M€</t>
  </si>
  <si>
    <t>Amount    (MUSD)</t>
  </si>
  <si>
    <t>Cost estimate of the Project &amp; Financing : MUS$</t>
  </si>
  <si>
    <t>Co-financing by BdE</t>
  </si>
  <si>
    <t>Subsidies from Gov. of Ecuador</t>
  </si>
  <si>
    <t xml:space="preserve">AFD (Through a sovereign loan on-lent to Banco del Estado </t>
  </si>
  <si>
    <t>Montant (en MUSD)</t>
  </si>
  <si>
    <t>Envisaged Financing Plan</t>
  </si>
  <si>
    <t>Subcomponent 3.3 : Technical Coopération :  Communication/visibility</t>
  </si>
  <si>
    <t xml:space="preserve">Subcomponent 3.1: Technical Assistance to GADs </t>
  </si>
  <si>
    <t>Cost estimate of the Project</t>
  </si>
  <si>
    <t>Co-financement - BdE</t>
  </si>
  <si>
    <t>Co-financement -  Subventions Gouvernement Equatorien</t>
  </si>
  <si>
    <t>AFD</t>
  </si>
  <si>
    <t>Plan de financement envisagé </t>
  </si>
  <si>
    <t>Composante 2 (LAIF)</t>
  </si>
  <si>
    <t>Composante 1 (prêt souverain)</t>
  </si>
  <si>
    <t>€/US$=</t>
  </si>
  <si>
    <t>Total in € to be financed by LAIF</t>
  </si>
  <si>
    <t>Total in € to be finance by LAIF</t>
  </si>
  <si>
    <t>Contingencies</t>
  </si>
  <si>
    <t>Comunication/visibility</t>
  </si>
  <si>
    <t>Program management</t>
  </si>
  <si>
    <t>Pre-investment studies</t>
  </si>
  <si>
    <t>Technical assistance to GADs</t>
  </si>
  <si>
    <t>Total M €</t>
  </si>
  <si>
    <t>Total'000  €</t>
  </si>
  <si>
    <t>Total '000 US$</t>
  </si>
  <si>
    <t>Indicative breakdown of TA</t>
  </si>
  <si>
    <t>Total €</t>
  </si>
  <si>
    <t>Total US$</t>
  </si>
  <si>
    <t>TA COST SUMMARY</t>
  </si>
  <si>
    <t>Total '000 €</t>
  </si>
  <si>
    <t>OTHERS</t>
  </si>
  <si>
    <t>Project 3</t>
  </si>
  <si>
    <t>Project 4</t>
  </si>
  <si>
    <t>Project 2</t>
  </si>
  <si>
    <t>Project 1</t>
  </si>
  <si>
    <t>PREINVESTMENT STUDIES (Masterplan, Feasibility studies Design studies)</t>
  </si>
  <si>
    <t>ELABORACIÓN: GDAT (chr)</t>
  </si>
  <si>
    <t>FUENTE: Información Sucursales Regionales BdE</t>
  </si>
  <si>
    <t>TOTAL in '000  €</t>
  </si>
  <si>
    <t>TOTAL in €</t>
  </si>
  <si>
    <t>TOTAL in '000 US$</t>
  </si>
  <si>
    <t>TOTAL in US$</t>
  </si>
  <si>
    <t>DURAN</t>
  </si>
  <si>
    <t>SR2-GUAYAQUIL</t>
  </si>
  <si>
    <t>PORTOVIEJO</t>
  </si>
  <si>
    <t>SR5-PORTOVIEJO</t>
  </si>
  <si>
    <t>DURÁN</t>
  </si>
  <si>
    <t>LAGO AGRIO</t>
  </si>
  <si>
    <t>EMPRESA</t>
  </si>
  <si>
    <t>JAAP</t>
  </si>
  <si>
    <t>- Cayambe</t>
  </si>
  <si>
    <t>- Pedro Moncayo</t>
  </si>
  <si>
    <t>- Antonio Ante</t>
  </si>
  <si>
    <t>- Otavalo</t>
  </si>
  <si>
    <t>- Ibarra</t>
  </si>
  <si>
    <t>CANTONES</t>
  </si>
  <si>
    <t>PESILLO</t>
  </si>
  <si>
    <t>SR1-QUITO</t>
  </si>
  <si>
    <t>GUANO</t>
  </si>
  <si>
    <t>EMAPA (AMBATO)</t>
  </si>
  <si>
    <t>LATACUNGA</t>
  </si>
  <si>
    <t>RIOBAMBA</t>
  </si>
  <si>
    <t>SR6- AMBATO</t>
  </si>
  <si>
    <t>Operativo</t>
  </si>
  <si>
    <t>Comercial</t>
  </si>
  <si>
    <t>Financiero</t>
  </si>
  <si>
    <t>Administrativo</t>
  </si>
  <si>
    <t>TOTAL '000 US$</t>
  </si>
  <si>
    <t>ÁREA DE GESTIÓN DEL SERVICIO</t>
  </si>
  <si>
    <t>ENTIDAD</t>
  </si>
  <si>
    <t>SUCURSAL REGIONAL BdE</t>
  </si>
  <si>
    <t>TOTAL</t>
  </si>
  <si>
    <t>TECHNICAL ASSISTANCE TO GADs</t>
  </si>
  <si>
    <t>ESTIMATED BREAKDOWN OF TECHNICAL ASSISTANCE COSTS (LAIF component)</t>
  </si>
  <si>
    <t>Autofinancement  des GADs (yc TVA)</t>
  </si>
  <si>
    <t>Coût estimatif du projet (TTC)</t>
  </si>
  <si>
    <t>Co-financing by Municipalities on their own budget (including IVA)</t>
  </si>
  <si>
    <t>Fuente BDE  US$</t>
  </si>
  <si>
    <t>Component 2 : Preinvestment studies (Including VAT)</t>
  </si>
  <si>
    <t>Amount (in MUSD)</t>
  </si>
  <si>
    <t>Total (MUS$)-AFD</t>
  </si>
  <si>
    <t>Beneficiary (BDE on its own funds)</t>
  </si>
  <si>
    <t>Component 1 : Investment Projects   (to be financed by loan &amp; governement subsidies and local governements) (including VAT)</t>
  </si>
  <si>
    <t>XXXX</t>
  </si>
  <si>
    <t>YYYYY</t>
  </si>
  <si>
    <t>SR? - ZZZZZ</t>
  </si>
  <si>
    <t>Component 1 : Investment Projects   (to be financed by loan &amp; governement subsidies and local governements) (excluding VAT)</t>
  </si>
  <si>
    <r>
      <rPr>
        <b/>
        <sz val="11"/>
        <color theme="1"/>
        <rFont val="Times New Roman"/>
        <family val="1"/>
      </rPr>
      <t>Component 1</t>
    </r>
    <r>
      <rPr>
        <sz val="11"/>
        <color theme="1"/>
        <rFont val="Times New Roman"/>
        <family val="1"/>
      </rPr>
      <t xml:space="preserve"> : Investment Projects   (to be financed by loan &amp; governement subsidies and local governements) (including VAT)</t>
    </r>
  </si>
  <si>
    <r>
      <rPr>
        <b/>
        <sz val="11"/>
        <color theme="1"/>
        <rFont val="Times New Roman"/>
        <family val="1"/>
      </rPr>
      <t>Component 2</t>
    </r>
    <r>
      <rPr>
        <sz val="11"/>
        <color theme="1"/>
        <rFont val="Times New Roman"/>
        <family val="1"/>
      </rPr>
      <t xml:space="preserve"> : Preinvestment studies (Including VAT)</t>
    </r>
  </si>
  <si>
    <t>Component 3:</t>
  </si>
  <si>
    <t>AFD Remuneration</t>
  </si>
  <si>
    <t>Composante 2 (LAIF incuding AFD Remuneration)</t>
  </si>
  <si>
    <t>Subcomponent 3.5 : AFD Remuneration on LAIF management</t>
  </si>
  <si>
    <t>Subcomponent 3.5: AFD Remuneration on LAIF management</t>
  </si>
  <si>
    <t>Coût estimatif du projet (hors TVA)</t>
  </si>
  <si>
    <t>Component 2 : Preinvestment studies (excluding VAT)</t>
  </si>
  <si>
    <t>Fuente LOCAL GAD/EP US$</t>
  </si>
  <si>
    <t>ESTUDIOS DE PREINVERSIÓN</t>
  </si>
  <si>
    <t>Actualización al</t>
  </si>
  <si>
    <t xml:space="preserve">TOTAL PROYECTOS </t>
  </si>
  <si>
    <t xml:space="preserve">DESGLOSE POR FUENTE DE FINANCIAMIENTO </t>
  </si>
  <si>
    <t>Fuente AFD  US$ NO REEMBOLSABLE</t>
  </si>
  <si>
    <t>Categoría de la Adquisición</t>
  </si>
  <si>
    <t>Método de Selección / Adquisición</t>
  </si>
  <si>
    <t>Precalificación</t>
  </si>
  <si>
    <t>Revisión ex ante/ ex post</t>
  </si>
  <si>
    <t>CATEGORIAS</t>
  </si>
  <si>
    <t>Consultorías Firmas</t>
  </si>
  <si>
    <t>Consultorías Individuales</t>
  </si>
  <si>
    <t>Servicios de NO Consultoría</t>
  </si>
  <si>
    <t>Capacitación</t>
  </si>
  <si>
    <t>Gastos Operativos</t>
  </si>
  <si>
    <t>Fuente AFD NO REEMBOLSABLE US$</t>
  </si>
  <si>
    <t>FUENTE DE FINANCIAMIENTO PORCENTAJE</t>
  </si>
  <si>
    <t>Componente</t>
  </si>
  <si>
    <t>Componente 2</t>
  </si>
  <si>
    <t>Componente 3</t>
  </si>
  <si>
    <t>ASISTENCIA TÉCNICA</t>
  </si>
  <si>
    <t>Componente 3.1</t>
  </si>
  <si>
    <t>Componente 3.2</t>
  </si>
  <si>
    <t>Componente 3.3</t>
  </si>
  <si>
    <t>Componente 3.4</t>
  </si>
  <si>
    <t>ASISTENCIA TÉCNICA A GAD</t>
  </si>
  <si>
    <t>GESTIÓN DEL PROGRAMA</t>
  </si>
  <si>
    <t>COMUNICACIÓN / VISIBILIDAD</t>
  </si>
  <si>
    <t>EVALUACIÓN/AUDITORÍA</t>
  </si>
  <si>
    <t>2.1</t>
  </si>
  <si>
    <t>3.1.1</t>
  </si>
  <si>
    <t>3.2.1</t>
  </si>
  <si>
    <t>3.3.1</t>
  </si>
  <si>
    <t>3.4.1</t>
  </si>
  <si>
    <t>"Diseño, implementación y Acompañamiento del Modelo de Gestión Público- Comunitario para la Administración, Operación y Mantenimiento del Sistema Regional de Agua Potable Pesillo- Imbabura""</t>
  </si>
  <si>
    <t>"Estudios de Diagnóstico y Complementación de diseños de tanques, interconexión. Modelación hidráulica, macrosectorización para entrega de agua en bloque, macromedición y redes para la operación integral del Sistema de Agua Potable Pesillo- Imbabura"</t>
  </si>
  <si>
    <t>EX ANTE</t>
  </si>
  <si>
    <t xml:space="preserve">Programa de Cooperación de Asistención Técnica para el fortalecimiento de la gestión de servicios y el desarrollo de las inversiones de agua potable, saneamiento, y residuos sólidos, en el marco del Programa BDE-AFD-LAIF
Convenio No. CEC1011 01 S
</t>
  </si>
  <si>
    <t xml:space="preserve">PLAN DE ADQUISICIONES Y CONTRATACIONES (PAyC) </t>
  </si>
  <si>
    <t>Experto en Ingeniería Sanitaria de la UGP BDE/AFD/LAIF</t>
  </si>
  <si>
    <t>Consultoría Individual</t>
  </si>
  <si>
    <t>3.2.2</t>
  </si>
  <si>
    <t>Especialista en Comunicación de la UGP BDE/AFD/LAIF</t>
  </si>
  <si>
    <t>3.2.3</t>
  </si>
  <si>
    <t>EX POST</t>
  </si>
  <si>
    <t>Adquisición de computadoras portátiles</t>
  </si>
  <si>
    <t>adquisición de equioos de impresión  y scaner</t>
  </si>
  <si>
    <t>Adquisición de Vehiculos</t>
  </si>
  <si>
    <t xml:space="preserve">Adquisición de Combustibles, Lubricantes y Aditivos en General para Vehículos Terrestres </t>
  </si>
  <si>
    <t xml:space="preserve"> Adquisición de Suministros de oficina, materiales,</t>
  </si>
  <si>
    <t>hasta enero2020</t>
  </si>
  <si>
    <t>hasta diciembre</t>
  </si>
  <si>
    <t>a dic 2019</t>
  </si>
  <si>
    <t>3.2.4</t>
  </si>
  <si>
    <t xml:space="preserve">Arrendamiento de toda clase de vehículos utilizados en las visitas y desplazamieto a los GADs </t>
  </si>
  <si>
    <t>Contratación de  Servicio de Asistente Administrativa de UGP</t>
  </si>
  <si>
    <t>Contratación de Servicio de capacitaciónpara ejecución de talleres y capacitación</t>
  </si>
  <si>
    <t>Publicaciones en medios masivos de comunicación Convocatoria a Experto Sanitario</t>
  </si>
  <si>
    <t>Publicaciones en medios masivos de comunicación Convocatorio Estudios de Diagnóstico Pesillo</t>
  </si>
  <si>
    <t>Publicaciones en medios masivos de comunicación Convocatoria Diseño, implementación  y Acompañamiento Pesillo</t>
  </si>
  <si>
    <t>Publicaciones en medios masivos de comunicación Convocatoria Comunicador Social</t>
  </si>
  <si>
    <t xml:space="preserve">Convocatoria  en medios masivos de comunicaión contratos de consultoria </t>
  </si>
  <si>
    <t xml:space="preserve">Fuente BDE REEMBOLSABLE US$ </t>
  </si>
  <si>
    <t>Estudios</t>
  </si>
  <si>
    <t>LPI/ Norma AFD</t>
  </si>
  <si>
    <t>SI</t>
  </si>
  <si>
    <t>x</t>
  </si>
  <si>
    <t>Revisión de TDR</t>
  </si>
  <si>
    <t>X</t>
  </si>
  <si>
    <t>revisión de TDR</t>
  </si>
  <si>
    <t>Solicitud de Propuestas / Norma AFD</t>
  </si>
  <si>
    <t>POR DEFINIR</t>
  </si>
  <si>
    <t>pendiente de publicación</t>
  </si>
  <si>
    <t>Pronunciamiento del CNE</t>
  </si>
  <si>
    <t>Bienes</t>
  </si>
  <si>
    <t>Contratación Directa/ Norma AFD</t>
  </si>
  <si>
    <t>N/A</t>
  </si>
  <si>
    <t>Elaboración de Especificaciones Técnicas</t>
  </si>
  <si>
    <t>LPN/Norma AFD</t>
  </si>
  <si>
    <t xml:space="preserve">servicios </t>
  </si>
  <si>
    <t>Elaboración de Términos de Referencia</t>
  </si>
  <si>
    <t>elaboración de TDR</t>
  </si>
  <si>
    <t xml:space="preserve">Fuente GAD/EP
IVA </t>
  </si>
  <si>
    <t>Fuente BDE
IVA</t>
  </si>
  <si>
    <t>COSTO ESTIMADO DE LA ADQUISICIÓN (SIN IVA)</t>
  </si>
  <si>
    <t>TOTAL COSTO ESTIMADO DE LA ADQUISICIÓN 
INCLUIDO IVA</t>
  </si>
  <si>
    <t>AFD NO REEMBOLSABLE %</t>
  </si>
  <si>
    <t>Fuente BDE IVA %</t>
  </si>
  <si>
    <t>Fuente GAD/EP
IVA %</t>
  </si>
  <si>
    <t>INICIO DE CONTRATO</t>
  </si>
  <si>
    <t>Adquisición de equipos de impresión  y scaner</t>
  </si>
  <si>
    <t>Adquisición de computadoras portátiles y de escritorio</t>
  </si>
  <si>
    <t xml:space="preserve">Consultoría </t>
  </si>
  <si>
    <t>Categoría - tipo de Contrato Adquisición</t>
  </si>
  <si>
    <t>Consultoría</t>
  </si>
  <si>
    <t>NO servicios de consultoría</t>
  </si>
  <si>
    <t xml:space="preserve">Versión </t>
  </si>
  <si>
    <t xml:space="preserve">DESCRIPCIÓN DEL CONTRATO </t>
  </si>
  <si>
    <t>Adquisición Competitiva Nacional/ Norma AFD</t>
  </si>
  <si>
    <t>Adquisición Competitiva Internacional/ Norma AFD</t>
  </si>
  <si>
    <t>Tipo de Competición</t>
  </si>
  <si>
    <t>Solicitud de Expresión de Interés</t>
  </si>
  <si>
    <t>Contratación Directa</t>
  </si>
  <si>
    <t>Procedimiento de Adquisición</t>
  </si>
  <si>
    <t>Método de selección</t>
  </si>
  <si>
    <t>Selección Basada en Calidad y costo</t>
  </si>
  <si>
    <t>Oferente cualificado, oferta más baja</t>
  </si>
  <si>
    <t xml:space="preserve">Solicitud de Cotización </t>
  </si>
  <si>
    <t>Servicios de NO consultoría</t>
  </si>
  <si>
    <t xml:space="preserve">Selección Basada en Calidad </t>
  </si>
  <si>
    <t>Solicitud de cotización</t>
  </si>
  <si>
    <t>Prestación de servicios de publicidad para la promoción y difusión del Programa BDE/AFD/UE-LAIF</t>
  </si>
  <si>
    <t>"Elaboración e implementación del Plan de Comunicación y Visibilidad del Programa BDE/AFD/UE-LAIF"</t>
  </si>
  <si>
    <t>Lista corta</t>
  </si>
  <si>
    <t>15 de julio de  2019</t>
  </si>
  <si>
    <t>15 de julio de 2019</t>
  </si>
  <si>
    <t>Diseño, implementación y acompañamiento de un modelo de gestión  pública para la administración, operación y mantenimiento del Sistema Regional de Agua Potable Pesillo-Imbabura a través de una Empresa Pública Mancomunada con participación comunitaria</t>
  </si>
  <si>
    <t>N7A</t>
  </si>
  <si>
    <t>Fiscalización del "Diseño, implementación y acompañamiento de Un modelo de gestión  pública para la administración, operación y mantenimiento del Sistema Regional de Agua Potable Pesillo-Imbabura a través de una Empresa Pública Mancomunada con participación comunitaria"</t>
  </si>
  <si>
    <t>Adquisición de materiales para impresión</t>
  </si>
  <si>
    <t>Adquisición de Vehiculo</t>
  </si>
  <si>
    <t xml:space="preserve"> Adquisición de Suministros de oficina y materiales,</t>
  </si>
  <si>
    <t xml:space="preserve">Arrendamiento vehículo para las visitas y desplazamietos  </t>
  </si>
  <si>
    <t>Publicaciones en medios masivos de comunicación de la Solicitud de Expresión de Interés para los "Estudios de Diagnóstico y Complementación de diseños de tanques, interconexión; modelación hidráulica, macrosectorización para entrega de agua en bloque, macromedición y redes para la operación integral del Sistema de Agua Potable Pesillo- Imbabura"</t>
  </si>
  <si>
    <t>Publicaciones en medios masivos de comunicación de la Solicitud de Expresión de Interés para los estudios de "Diseño, implementación y acompañamiento de Un modelo de gestión  pública para la administración, operación y mantenimiento del Sistema Regional de Agua Potable Pesillo-Imbabura a través de una Empresa Pública Mancomunada con participación comunitaria".</t>
  </si>
  <si>
    <t>"Estudios de Diagnóstico y Complementación de diseños de tanques, interconexión,modelación hidráulica, macrosectorización para entrega de agua en bloque, macromedición y redes para la operación integral del Sistema de Agua Potable Pesillo- Imbabura"</t>
  </si>
  <si>
    <t>Fiscalización de los "Estudios de Diagnóstico y Complementación de diseños de tanques, interconexión, modelación hidráulica, macrosectorización para entrega de agua en bloque, macromedición y redes para la operación integral del Sistema de Agua Potable Pesillo- Imbabura"</t>
  </si>
  <si>
    <t>Inicio</t>
  </si>
  <si>
    <t>3.1</t>
  </si>
  <si>
    <t>3.2</t>
  </si>
  <si>
    <t>Contratación de Asistente Administrativo de la UGP BDE/AFD/UE-LAIF</t>
  </si>
  <si>
    <t>3.3</t>
  </si>
  <si>
    <t>3.4</t>
  </si>
  <si>
    <t>Previsto</t>
  </si>
  <si>
    <t>ítem presupuestario</t>
  </si>
  <si>
    <t>730601 Consultoría</t>
  </si>
  <si>
    <t>840107 Equipos, sistemas y paquetes informáticos</t>
  </si>
  <si>
    <t>730807 Materiales de impresión</t>
  </si>
  <si>
    <t>840105 Vehículos</t>
  </si>
  <si>
    <t>730804 Materiales de Oficina</t>
  </si>
  <si>
    <t>730204 Edición, impresión, reproducción y publicaciones</t>
  </si>
  <si>
    <t>730602 Servicios de Auditoría</t>
  </si>
  <si>
    <t>730505 Vehículos (Arrendamiento)</t>
  </si>
  <si>
    <t>730612 Capacitación a Servidores Públicos</t>
  </si>
  <si>
    <t>730606 Honorarios por Contratos Civiles</t>
  </si>
  <si>
    <t>Auditoria a los Estados Financieros por los años 2018 y 2019</t>
  </si>
  <si>
    <t>Fuente AFD ASISTENCIA TÉCNICA US$ NO REEMBOLSABLE (Valor sin Impuestos)</t>
  </si>
  <si>
    <t xml:space="preserve">Servicios de organización y ejecución de talleres para capacitación y evetos en el marco de la Implementación del Programa de Asistencia Técnica BDE/AFD/UE-LAIF    </t>
  </si>
  <si>
    <t>Elaboración e implementación de pliegos tarifarios basados en costos sostenibles para el cumplimiento de la normativa DIR-ARCA-RG-006-2017 en  EPS O GADMS beneficiarios del Programa BDE/AFD/UE-LAIF.</t>
  </si>
  <si>
    <t>AFD AT REEMBOLSABLE %</t>
  </si>
  <si>
    <t>"Agente Supervisor (Jefe) de la Unidad de Gestión de Programa de Cooperación de Asistencia Técnica para el fortalecimiento de la gestión de servicios y el desarrollo de las inversiones de agua potable saneamiento y residuos sólidos"</t>
  </si>
  <si>
    <t>"Especialista en Contratación de la Unidad de Gestión de Programa de Cooperación de Asistencia Técnica para el Fortalecimiento de la Gestión de Servicios y el desarrollo de las inversiones de agua potable saneamiento y residuos sólidos en el marco del programa BDE-AFD-LAIF"</t>
  </si>
  <si>
    <t xml:space="preserve"> "Experto en Gestión de Servicios de Agua y Saneamiento de la Unidad de Gestión del Programa de Cooperación de Asistencia Técnica para el fortalecimiento de la gestión de serviciosy el desarrollo de las inversiones de agua potable, saneamiento y residuos solidos, en el marco del programa BDE-AFD-LAIF"</t>
  </si>
  <si>
    <t xml:space="preserve"> "Especialista en Contabilidad y Finanzas de la Unidad de Gestión del Programa de Cooperación de Asistencia Técnica para el fortalecimiento de la gestión de servicios y el desarrollo de las inversiones de agua potable, saneamiento y residuos solidos, en el marco del programa BDE-AFD-LAIF"</t>
  </si>
  <si>
    <t>"Publicación de solicitud de propuestas para contratación de servicios de consultoría del experto en Ingenieria Sanitaria de la UGP BDE/AFD/LAIF"</t>
  </si>
  <si>
    <t>Auditoria del Programa BDE/AFD/LAIF por los años 2020 y 2021</t>
  </si>
  <si>
    <t>Auditoria del Programa  BDE/AFD/LAIF  por los años 2018 y 2019</t>
  </si>
  <si>
    <t>Solicitud de Cotización</t>
  </si>
  <si>
    <t xml:space="preserve"> Adquisición de Suministros de oficina y materiales 2019</t>
  </si>
  <si>
    <t>En ejecución</t>
  </si>
  <si>
    <t>Reembolso</t>
  </si>
  <si>
    <t xml:space="preserve">Solicitud de Propuestas </t>
  </si>
  <si>
    <t>Solicitud de Propuestas</t>
  </si>
  <si>
    <t>Versión 1.0</t>
  </si>
  <si>
    <t>Selección Basada en Calidad</t>
  </si>
  <si>
    <t>3.3.</t>
  </si>
  <si>
    <t>Valor estimado asignado para inversión en USD</t>
  </si>
  <si>
    <t>Mantenimiento, lubricantes, combustibles, pago de matriculas, pago de seguros y compra de llantas</t>
  </si>
  <si>
    <t>ABRIL</t>
  </si>
  <si>
    <t>MAYO</t>
  </si>
  <si>
    <t>JUNIO</t>
  </si>
  <si>
    <t>JULIO</t>
  </si>
  <si>
    <t>AGOSTO</t>
  </si>
  <si>
    <t>SEPTIEMBRE</t>
  </si>
  <si>
    <t>OCTUBRE</t>
  </si>
  <si>
    <t>NOVIEMBRE</t>
  </si>
  <si>
    <t>DICIEMBRE</t>
  </si>
  <si>
    <t>ENERO</t>
  </si>
  <si>
    <t>FEBRERO</t>
  </si>
  <si>
    <t>MARZO</t>
  </si>
  <si>
    <t>total</t>
  </si>
  <si>
    <t>No. días</t>
  </si>
  <si>
    <t>valor</t>
  </si>
  <si>
    <t>Servidor Público BDE</t>
  </si>
  <si>
    <t>Agente Supervisor</t>
  </si>
  <si>
    <t>Experto en Gestión de Servicios</t>
  </si>
  <si>
    <t>Experto Sanitario</t>
  </si>
  <si>
    <t>Especialista en Contratación</t>
  </si>
  <si>
    <t>Especialista en Contabilida y Fianzas</t>
  </si>
  <si>
    <t>Comunicación</t>
  </si>
  <si>
    <t>Chofer la mitad de días porque se espera contar con el vehículo de UGP</t>
  </si>
  <si>
    <t>Chofer (una vez contemos con vehículo)</t>
  </si>
  <si>
    <t>Asistente, profesional apoyo UGP</t>
  </si>
  <si>
    <t>PLANIFICACIÓN FINANCIERA  DE REEMBOLSO DE VIÁTICOS</t>
  </si>
  <si>
    <t xml:space="preserve">valor máximo para cada día </t>
  </si>
  <si>
    <t>NOTAS:</t>
  </si>
  <si>
    <t>Viático es el valor monetario reembolsable por alimentación, hospedaje y movilización; se procederá según lo descrito en Anexo 12 del Reglamento Operativo del Programa</t>
  </si>
  <si>
    <t xml:space="preserve">Servicios de organización y ejecución de talleres para capacitación y eventos en el marco de la Implementación del Programa de Asistencia Técnica BDE/AFD/UE-LAIF    </t>
  </si>
  <si>
    <t>concluido</t>
  </si>
  <si>
    <t>PUBLICACIÓN ANUNCIO ESPECÍFICO DE ADQUISICIÓN (medios impresos)</t>
  </si>
  <si>
    <t>n/a</t>
  </si>
  <si>
    <t>Este cuadro representa una planificación financiera mensual preliminar de los viátios que realizarán los profesionales que conforman la UGP hasta julio de 2021</t>
  </si>
  <si>
    <t>Cantidad</t>
  </si>
  <si>
    <t>Costo Unitario ($)</t>
  </si>
  <si>
    <t>Valor Total ($)</t>
  </si>
  <si>
    <t>Combustible</t>
  </si>
  <si>
    <t>Neumáticos + Enllantaje + Balanceo</t>
  </si>
  <si>
    <t>Seguro</t>
  </si>
  <si>
    <t xml:space="preserve">Adquisición de computadoras portátiles y de escritorio </t>
  </si>
  <si>
    <t>5 llantas</t>
  </si>
  <si>
    <t>GPS y servicio</t>
  </si>
  <si>
    <t>Mantenimiento, lubricantes</t>
  </si>
  <si>
    <t xml:space="preserve">Matricula </t>
  </si>
  <si>
    <t>por los años 2020 y 2021</t>
  </si>
  <si>
    <t>peajes</t>
  </si>
  <si>
    <t>Revisión vehícular</t>
  </si>
  <si>
    <t>mantenimiento y conservación de vehículo</t>
  </si>
  <si>
    <t>Descripción de rubros</t>
  </si>
  <si>
    <t>desde abril de 2020 hasta junio 2021</t>
  </si>
  <si>
    <t>np 15/8/2019</t>
  </si>
  <si>
    <t>desde abril de 2020 hasta junio de 2021</t>
  </si>
  <si>
    <t xml:space="preserve">Prestación de servicios adicionales de publicidad </t>
  </si>
  <si>
    <t>15 de agosto de 2019</t>
  </si>
  <si>
    <t>Valor estimado asignado en euros
(Valor par EUR-USD 1,11)</t>
  </si>
  <si>
    <t>COMPONENTE 3      ASISTENCIA TÉCNICA</t>
  </si>
  <si>
    <t>Para uso de los profesionales de la UGP, en la realización de las actividades diarias hasta julio de 2019</t>
  </si>
  <si>
    <t>ANEXO 1</t>
  </si>
  <si>
    <t>ANEXO 2</t>
  </si>
  <si>
    <t>Se reembolsa a la presentación de las facturas.</t>
  </si>
  <si>
    <t>Considerando que a la fecha la UGP se encuentra trabajando en los diagnósticos en los 11 GADMs, solo podemos dimensionar en transacciones y procesos a auditar los correspondientes a los ejercicios fiscales 2018 y 2019. En este sentido la separación en dos procesos.</t>
  </si>
  <si>
    <t>Adquisición Competitiva Internacional o Nacional/ Norma AFD</t>
  </si>
  <si>
    <t>Norma AFD</t>
  </si>
  <si>
    <t>Diagnóstico</t>
  </si>
  <si>
    <t>Consultorias</t>
  </si>
  <si>
    <t>Composición de la UGP</t>
  </si>
  <si>
    <t>Bienes y servicios para la Gestión de la UGP</t>
  </si>
  <si>
    <t>Gastos para de gestión del programa</t>
  </si>
  <si>
    <t xml:space="preserve">DESCRIPCIÓN </t>
  </si>
  <si>
    <t>Se requiere un pliego individual para cada GADM, se estima que se implementaría en 6  GADM/ EP</t>
  </si>
  <si>
    <t>Organización de talleres con partes interesadas del Programa BDE/AFD/LAIF</t>
  </si>
  <si>
    <t>Proyectos para Asistencia Técnica GADM/ EP, Talleres de Capacitación y Adquisicion de Bienes en 11 GADM o EP beneficiarias</t>
  </si>
  <si>
    <t>np/15/8/2019</t>
  </si>
  <si>
    <t>Subcomponente 3.1               Asistencia Técnica a GADMs</t>
  </si>
  <si>
    <t>Subcomponente 3.2              Gestión del Programa</t>
  </si>
  <si>
    <t>TOTAL PROYECTO BDE/AFD/LAIF  CONVENIO CEC 1011 01 S</t>
  </si>
  <si>
    <t>COMPONENTE 2      ESTUDIOS DE PRE-INVERSIÓN</t>
  </si>
  <si>
    <t>Subcomponente 3.3               Comunicación y Visibilidad</t>
  </si>
  <si>
    <t>Fuente BDE (Reembolsable) $</t>
  </si>
  <si>
    <t>Fuente AFD ASISTENCIA TÉCNICA Convenio CEC1011 01 S
(Valor sin Impuestos)
$</t>
  </si>
  <si>
    <t>Fuente BDE
(IVA)
$</t>
  </si>
  <si>
    <t>Fuente GAD/EP
IVA 
$</t>
  </si>
  <si>
    <t>TOTAL COSTO ESTIMADO DE LA ADQUISICIÓN 
INCLUIDO IVA
$</t>
  </si>
  <si>
    <t>Tasa Impuesto al Valor Agregado IVA%</t>
  </si>
  <si>
    <t>Debido al ser un tema complejo y tener que tratar con diferentes localidades se requiere un acompañamiento por parte de un profesional que se dedique de una manera permanente y continua a este proceso. Por la alta cantidad de actividades que realiza actualmente la Especialista Gestión de Servicios se vería complicada en una supervisión con las caracteristicas que demanda la ejecución de estas actividades.</t>
  </si>
  <si>
    <t>Arrendamiento de Vehículo para uso de los profesionales hasta la compra del vehículo de la UGP, los pagos se realizarán conforme los días efectivamente utilizados hasta que se concluya el valor o el plazo de la contratación. Una estimación financiera se encuentra en Anexo 2.</t>
  </si>
  <si>
    <t>Valores necesarios para el buen mantenimiento y conservación  del Vehículo adquirido para cumplimiento de los actividades propias de la Unidad de Gestión del Programa, se estima desde abril- mayo de 2020 hasta julio de 2021, un detalle se visualiza en Anexo 3</t>
  </si>
  <si>
    <t>ANEXO 3</t>
  </si>
  <si>
    <t>Arrendamiento Vehículo</t>
  </si>
  <si>
    <t>valor estimado por día que  efectivamente prestó el servicio</t>
  </si>
  <si>
    <t>rubro</t>
  </si>
  <si>
    <t xml:space="preserve">No.días </t>
  </si>
  <si>
    <t>PLANIFICACIÓN FINANCIERA PAGO ARRENDAMIENTO VEHÍCULOS</t>
  </si>
  <si>
    <t>TOTAL
PLANIFICADO</t>
  </si>
  <si>
    <t>Subcomponente 3.4                Evaluación y Auditoría</t>
  </si>
  <si>
    <t>730803 Combustible y lubricantes
730405 Mantenimiento Vehiculos
770102 Tasas Generales, impuestos, Permisos.
770201 Seguros</t>
  </si>
  <si>
    <t>Estudios de preinversión en 5 ciudades</t>
  </si>
  <si>
    <t>“Asesoría tecnica para analizar y validar la situación de la ejecución del contrato de construccion del sistema de agua potable Pesillo-Imbabura, y acompañamiento en la fase de negociación para la reestructuración del contrato”.</t>
  </si>
  <si>
    <t>Apoyo técnico acordado en la reunión de coordinación del 7 de agosto de 2019 en Ibarra, entre GADM Ibarra, AFD UGP LAIF y GDAT/BDE.</t>
  </si>
  <si>
    <t>Proyecto prioritario en apoyo al Proyecto Regional de Agua Potable Pesillo</t>
  </si>
  <si>
    <t xml:space="preserve">Proyectos a ser definidos por la Experta en Gestión de Servicios y el Agente Supervisor de la UGP BDE-AFD-LAIF, una vez que se han concluido los diagnósticos de las 11 EPs o GADM beneficiarios, priorizados  con su participación, aprobados por GDAT/BDE y No Objetados por AFD. </t>
  </si>
  <si>
    <t xml:space="preserve">En proceso </t>
  </si>
  <si>
    <t>Por contratar</t>
  </si>
  <si>
    <t>Valor disponible en caso de requerirse extender plazo de ejecución del Programa</t>
  </si>
  <si>
    <t>Apoyo necesario a partir del año 2020 cuando el Programa esté en su ejecución más alta</t>
  </si>
  <si>
    <t>Para uso en las actividades diarias de los profesionales de Unidad de Gestión del Programa (5 equipos portátiles y 2 de escritorio)</t>
  </si>
  <si>
    <t>Para uso en las actividades diarias de los profesionales de Unidad de Gestión del Programa (compra de una impresora y un equipo de escaner)</t>
  </si>
  <si>
    <t>Para uso en las actividades diarias de los profesionales de Unidad de Gestión del Programa, para ser colocados en la impresora de la UGP</t>
  </si>
  <si>
    <t>Para uso en las actividades diarias de los profesionales de Unidad de Gestión del Programa</t>
  </si>
  <si>
    <t>Contratación de una agencia de publicidad que se encargue de la ejecución del PCV (materiales promocionales, publicaciones, pautajes, piezas publicitarias de radio, TV, redes sociales, etc.) en coordinación con el Comunicador social del Programa</t>
  </si>
  <si>
    <t>Monto disponible extra para adicionales o temas imprevistos</t>
  </si>
  <si>
    <t>Publicaciones en medios masivos de comunicación de la Solicitud de Expresión de Interés para los "Estudios de Diagnóstico y Complementación de diseños de tanques, conexiones; modelación hidráulica, macrosectorización para entrega de agua en bloque, macromedición y redes para la operación integral del Sistema de Agua Potable Pesillo- Imbabura"</t>
  </si>
  <si>
    <t>"Estudios de Diagnóstico y Complementación de diseños de tanques, conexiones,modelación hidráulica, macrosectorización para entrega de agua en bloque, macromedición y redes para la operación integral del Sistema de Agua Potable Pesillo- Imbabura"</t>
  </si>
  <si>
    <t>730303 Viáticos y Subsistencias en el interior
730301 Pasajes al Interior</t>
  </si>
  <si>
    <t>840104 Maquinarias y Equipos
840107 Equipos, sistemas y paquetes informáticos</t>
  </si>
  <si>
    <t>2/20/2020</t>
  </si>
  <si>
    <t>Publicación de SEI en los diarios El Comercio y El Universo.</t>
  </si>
  <si>
    <t>730105 Telecomunicaciones</t>
  </si>
  <si>
    <t>Consultoría
Firma</t>
  </si>
  <si>
    <t>A ser definidos con la participación del Experto Ingeniero Sanitario de la UGP BDE/AFD/LAIF</t>
  </si>
  <si>
    <t>Contratación del servicio de internet móvil para el Programa BDE/AFD/UE-LAIF</t>
  </si>
  <si>
    <t>Adquisición de proyectores y grabadora para reuniones del Programa BDE/AFD/UE-LAIF</t>
  </si>
  <si>
    <t>Preparación de Términos de Referencia para el suministro, implementación y puesta en operación de sistemas integrados de gestión de recursos empresariales (ERP) y para sistemas de gestión comercial en empresas y direcciones municipales de agua potable y alcantarillado.</t>
  </si>
  <si>
    <t>Elaboración de Términos de Referencia para el desarrollo e implementación de planes de mejora de la calidad de agua para consumo humano y para la definición de especificaciones técnicas para equipamiento de laboratorios de análisis de calidad de agua potable y residual.</t>
  </si>
  <si>
    <t>Elaboración de Términos de Referencia para formulación e implementación de planes de reducción de Agua No Contabilizada (ANC) en Empresas y Direcciones Municipales de agua potable y alcantarillado.</t>
  </si>
  <si>
    <t>Preparación de Términos de Referencia para el desarrollo e implementación de planes y procesos para la mejora  de la gestión administrativa de Empresas Públicas y Direcciones municipales de Agua Potable y Saneamiento.</t>
  </si>
  <si>
    <t xml:space="preserve">Elaboración de Términos de Referencia para el desarrollo e implementación de planes y procesos para mejorar la eficiencia financiera de Empresas Públicas y Direcciones Municipales de agua potable y saneamiento. </t>
  </si>
  <si>
    <t>Elaboración de Términos de Referencia para el desarrollo e implementación de procesos para el fortalecimiento de la gestión comunitaria del agua a través de Juntas Administradoras de Agua Potable JAAPs.</t>
  </si>
  <si>
    <t>Se incluyó en los viáticos el reembolso de pasajes aéreos y nacionales.</t>
  </si>
  <si>
    <t>Gastos por viáticos, traslados, pasajes aéreos y terrestres a los GADs de las diferentes ciudades del país.</t>
  </si>
  <si>
    <t>Internet móvil para uso de los consultores que conforman la Unidad de Gestión del Programa; se compraría dos dispositivos.</t>
  </si>
  <si>
    <t>Para uso de la Unidad de Gestión del Programa en las diferentes reuniones; se compraría dos proyectores y una grabadora.</t>
  </si>
  <si>
    <t>Adquisición de equipos de impresión  y escáner</t>
  </si>
  <si>
    <t xml:space="preserve">Arrendamiento vehículo para las visitas y desplazamientos  </t>
  </si>
  <si>
    <t>730301 Pasajes al interior</t>
  </si>
  <si>
    <t>Pago por rembolso de viáticos, y pasajes aéreos a GADs de la diferentes ciudades del país.</t>
  </si>
  <si>
    <t xml:space="preserve">Asistente Administrativo para la Unidad de Gestión del Programa BDE/AFD/UE-LAIF </t>
  </si>
  <si>
    <t xml:space="preserve">
840104 Maquinarias y Equipos</t>
  </si>
  <si>
    <t>Oferta técnica sustancialmente conforme y oferta más baja</t>
  </si>
  <si>
    <t>Versión 1.01</t>
  </si>
  <si>
    <t>Solicitud de Cotización y Conformación de Lista Corta</t>
  </si>
  <si>
    <t>Publicación de solicitud de propuestas para contratación de servicios de consultoría del experto en Ingeniería Sanitaria de la UGP BDE/AFD/LAIF</t>
  </si>
  <si>
    <t>Versión 1.00</t>
  </si>
  <si>
    <t xml:space="preserve">Versión inicial </t>
  </si>
  <si>
    <t>segundo cuatrimestre de 2020</t>
  </si>
  <si>
    <t>tercer cuatrimestre de 2020</t>
  </si>
  <si>
    <t>segundo cuatrimestre de 2021</t>
  </si>
  <si>
    <t>primer cuatrimestre 2020</t>
  </si>
  <si>
    <t>tercer cuatrimestre de 2021</t>
  </si>
  <si>
    <t>tercer cuatrimestre de 2019</t>
  </si>
  <si>
    <t>segundo cuatrimestre de 2019</t>
  </si>
  <si>
    <t>primer cuatrimestre de 2020</t>
  </si>
  <si>
    <t>primer cuatrimestre de 2021</t>
  </si>
  <si>
    <t>primer cuatrimestre de 2022</t>
  </si>
  <si>
    <t>Estudios de diagnóstico y complementación de diseños de tanques, conexiones, modelación hidráulica, macrosectorización para entrega de agua en bloque, macromedición y redes para la operación integral del Sistema de Agua Potable Pesillo-Imbabura.</t>
  </si>
  <si>
    <t>Diseño, implementación y acompañamiento de un modelo de gestión  pública para la administración, operación y mantenimiento del Sistema Regional de Agua Potable Pesillo-Imbabura a través de una Empresa Pública Mancomunada con participación comunitaria.</t>
  </si>
  <si>
    <t>Concluido</t>
  </si>
  <si>
    <t>sustancialmente conforme, oferta más baja</t>
  </si>
  <si>
    <t>Para uso en las actividades diarias de los profesionales de Unidad de Gestión del Programa (compra de una impresora y un equipo de escáner)</t>
  </si>
  <si>
    <t>Los pagos mínimos por viáticos que realizarían  los profesionales que ejecutan el Programa BDE/AFD/LAIF, se deberán reponer al profesional a la presentación de facturas; en  ROP (anexo 12) se encuentra normado. Una planificación financiera mensual se la visualiza en cálculo viáticos Anexo 1.</t>
  </si>
  <si>
    <t>Desarrollo e implementación de Planes de reducción de costos, mejora de ingresos y eficiencia de recaudación para elevar la autosuficiencia financiera y operacional, y alcanzar sostenibilidad financiera de Empresas y Direcciones municipales de agua potable y alcantarillado.</t>
  </si>
  <si>
    <t>Gerenciamiento de la Ejecución de la Fase I del Proyecto Plan Maestro de Alcantarillado de la ciudad de Latacunga</t>
  </si>
  <si>
    <t>Gastos para gestión del programa</t>
  </si>
  <si>
    <t>Desarrollo e implementación de Pliegos Tarifarios y Reglamentos de Servicios en Empresas y Direcciones Municipales de agua potable y alcantarillado.</t>
  </si>
  <si>
    <t>Desarrollo e Implementación de Planes de fortalecimiento de la gestión institucional en Empresas y Direcciones municipales de agua potable y alcantarillado.</t>
  </si>
  <si>
    <t>Prestación de servicios de publicidad para la implementación, promoción y difusión del Programa BDE/AFD/UE-LAIF</t>
  </si>
  <si>
    <t>Servicios de provisión de pasajes aéreos nacionales, para los profesionales que intervengan en la implementación del Programa BDE/AFD/UE-LAIF</t>
  </si>
  <si>
    <t>Elaboración de Especificaciones Técnicas para la provisión, instalación y puesta en funcionamiento  de equipos para mejora de la gestión de la calidad del agua potable y residual en Laboratorios de Empresas y Direcciones municipales de agua potable y alcantarillado.</t>
  </si>
  <si>
    <t>Medición de satisfacción ciudadana de servicios de agua potable y saneamiento; e implementación de Campañas comunicacionales para promover el uso responsables, el cuidado del agua y la corresponsabilidad en el pago de los servicios.</t>
  </si>
  <si>
    <r>
      <t xml:space="preserve">Adquisición de Hidrosuccionadores para </t>
    </r>
    <r>
      <rPr>
        <sz val="10"/>
        <color theme="1"/>
        <rFont val="Calibri"/>
        <family val="2"/>
        <scheme val="minor"/>
      </rPr>
      <t>el mantenimiento de los sistemas de alcantarillado.</t>
    </r>
  </si>
  <si>
    <t>Apoyo a la implementación del Modelo de Gestión de Pesillo; y fortalecimiento de la gestión comunitaria del agua potable.</t>
  </si>
  <si>
    <t>Servicios de organización y ejecución de talleres y eventos en el marco de la implementación del Programa de Asistencia Técnica BDE/AFD/UE-LAIF.</t>
  </si>
  <si>
    <t>730249 Eventos públicos promocionales</t>
  </si>
  <si>
    <t>730207 Difusión, información y publicidad</t>
  </si>
  <si>
    <t>Fiscalización de la consultoría del Diseño, implementación y acompañamiento de un modelo de gestión  pública para la administración, operación y mantenimiento del Sistema Regional de Agua Potable Pesillo-Imbabura a través de una Empresa Pública Mancomunada con participación comunitaria.</t>
  </si>
  <si>
    <t>Suministro, instalación y puesta en operación de equipos, accesorios, e intervenciones, para reducción del Índice de Agua No Contabilizada (IANC) en Empresas y Direcciones Municipales de Agua Potable y Alcantarillado.</t>
  </si>
  <si>
    <t>Quito, Ecuador.</t>
  </si>
  <si>
    <t>Debido a la complejidad del alcance de la consultoría la UGP requiere la fiscalización de permanente a la implementación de la consultoría. Por la alta cantidad de actividades que realiza la Experta en Gestión del agua y Servicios se vería complicada en una fiscalización con las características que demanda la ejecución de estas actividades.</t>
  </si>
  <si>
    <t>APERTURA DE OFERTA O PROPUESTAS</t>
  </si>
  <si>
    <t xml:space="preserve">PUBLICACIÓN ANUNCIO ESPECÍFICO DE ADQUISICIÓN </t>
  </si>
  <si>
    <t>FIRMA DE CONTRATO</t>
  </si>
  <si>
    <t>Revisión de la AFD 
(ex ante/ ex post)</t>
  </si>
  <si>
    <t>Mejor cualificado, Selección Basada en Calidad</t>
  </si>
  <si>
    <t>Tipo de Contrato Adquisición</t>
  </si>
  <si>
    <t>Consultor Individual</t>
  </si>
  <si>
    <t>Servicios de No consultoría</t>
  </si>
  <si>
    <t xml:space="preserve">Consultoría
</t>
  </si>
  <si>
    <t>El componente de bienes (software y equipo) es preponderante</t>
  </si>
  <si>
    <t>El componente de consultoría es preponderante frente al de bienes (software y equipos)</t>
  </si>
  <si>
    <t>Proyecto priorizado a partir de levantamiento de información y aplicación de metodología de evaluación con base en los siguientes criterios: brecha de cobertura, población beneficiaria, índice de NBI, capacidad de endeudamiento, adaptación a cambio climático y voluntad política del beneficiario.</t>
  </si>
  <si>
    <t>IDEM</t>
  </si>
  <si>
    <t>Proyecto prioritario definido por BDE-AFD en apoyo al Proyecto Regional de Agua Potable Pesillo</t>
  </si>
  <si>
    <t>Recomendado por AFD en Comité de Pilotaje y priorizado por UGP en acuerdo con GDAT.</t>
  </si>
  <si>
    <t xml:space="preserve">Proyecto seleccionado a partir del proceso de diagnóstico, priorización y validación de Asistencia Técnica </t>
  </si>
  <si>
    <t>Acordado en reunión de 4 de febero de 2020 con BDE-AFD-GADM Latacunga-UGP a solicitud de AFD</t>
  </si>
  <si>
    <t>Holgura en caso de incrementos de costos en procesos internacionales</t>
  </si>
  <si>
    <t>De acuerdo a requerimiento de conformación de UGP</t>
  </si>
  <si>
    <t>Por propuesta de UGP dado el alto número de proyectos simutáneos  a ser ejecutados</t>
  </si>
  <si>
    <t>Requeridas para cada uno de los procesos internacionales</t>
  </si>
  <si>
    <t>Necesario para movilización nacional del personal de la UGP</t>
  </si>
  <si>
    <t>Requerimiento del Convenio de Financiamiento</t>
  </si>
  <si>
    <t>NOMBRE DEL CONTRATO 
(Descripción)</t>
  </si>
  <si>
    <t>Ítem presupuestario</t>
  </si>
  <si>
    <t>Fuente BDE (Reembolsable) US$</t>
  </si>
  <si>
    <t>Fuente AFD ASISTENCIA TÉCNICA Convenio CEC1011 01 S
(Valor sin Impuestos)
US$</t>
  </si>
  <si>
    <t>Fuente BDE
(IVA)
US$</t>
  </si>
  <si>
    <t>Fuente GAD/EP
IVA 
US$</t>
  </si>
  <si>
    <t>TOTAL MONTO ESTIMADO DE LA ADQUISICIÓN 
INCLUIDO IVA
US$</t>
  </si>
  <si>
    <t>Especialista en Contabilida y Finanzas</t>
  </si>
  <si>
    <t>Asistente administrativa para apoyo UGP</t>
  </si>
  <si>
    <t>Analista técnico del Programa</t>
  </si>
  <si>
    <t xml:space="preserve">Gerente de Latacunga </t>
  </si>
  <si>
    <t>np 10/02/2020</t>
  </si>
  <si>
    <t>Este cuadro representa una planificación financiera mensual preliminar de los viátios que realizarán los profesionales que conforman la UGP hasta diciembre de 2021</t>
  </si>
  <si>
    <t>PLANIFICACIÓN FINANCIERA ESTIMADA PARA EL PAGO DE ARRENDAMIENTO DEL VEHÍCULO DE LA UGP</t>
  </si>
  <si>
    <t>diembre 2019</t>
  </si>
  <si>
    <t>febero</t>
  </si>
  <si>
    <t>np 10/2/2020</t>
  </si>
  <si>
    <t>RESUMEN DE LA PLANIFICACIÓN FINANCIERA  DE REEMBOLSO DE VIÁTICOS</t>
  </si>
  <si>
    <t>Aviso de Adquisiciones e invitación a presentar ofertas</t>
  </si>
  <si>
    <t>Sustancialmente conforme, oferta más baja</t>
  </si>
  <si>
    <t>Proyecto seleccionado a partir del proceso de diagnóstico, priorización y validación de Asistencia Técnica con cada uno de los beneficiarios finales del Programa</t>
  </si>
  <si>
    <t>Desarrollo e implementación de la Planificación Estratégica, aseguramiento de calidad y capacitación en Empresas y Direcciones municipales de agua potable y alcantarillado.</t>
  </si>
  <si>
    <t>Elaboración de Términos de Referencia para el Desarrollo e Implementación de Planes de Fortalecimiento de la Gestión Institucional de Empresas y Direcciones Municipales de Agua Potable y Alcantarillado.</t>
  </si>
  <si>
    <t>Provisión, instalación y puesta en funcionamiento de equipos para mejora de la gestión de la calidad del agua potable y residual en Laboratorios de Empresas y Direcciones municipales de agua potable y alcantarillado.</t>
  </si>
  <si>
    <t>Desarrollo e implementación de Planes Estratégicos para reducción del Índice de Agua No Contabilizada (IANC) en Empresas y Direcciones Municipales de agua potable y alcantarillado.</t>
  </si>
  <si>
    <t>Estudios y Diseños Definitivos de los Sistemas de agua potable, alcantarillado sanitario y pluvial de la Cabecera Parroquial de Santa Rosa, Cantón Santa Cruz, Provincia de Galápagos.</t>
  </si>
  <si>
    <t>Desarrollo e implementación de planes piloto de actualización de catastros de consumidores y usuarios en Empresas y Direcciones municipales de agua potable y alcantarillado.</t>
  </si>
  <si>
    <t>segundo cuatrimestre 2020</t>
  </si>
  <si>
    <t>Elaboración de Términos de Referencia para la Formulación e Implementación de Planes estratégicos, y Suministro, instalación y puesta en operación de equipos, para Reducción del Índice de Agua No Contabilizada (IANC) en Empresas y Direcciones Municipales de agua potable y alcantarillado.</t>
  </si>
  <si>
    <t>Elaboración de los Términos de Referencia para la Contratación de una Empresa Consultora que elabore los Planes Maestros de Agua Potable,  Alcantarillado Sanitario, Pluvial y Tratamiento de Aguas Residuales para la Ciudad de Ambato.</t>
  </si>
  <si>
    <t>Estudios y diseños de agua potable, alcantarillado sanitario, pluvial y tratamiento de aguas residuales para parroquias seleccionadas de los cantones Pasaje, Naranjal y Tosagua.</t>
  </si>
  <si>
    <t>Desarrollo, implementación y puesta en operación del sistema contable automatizado bajo normativa NIIF con centros de costos para  empresas públicas de agua potable y saneamiento.</t>
  </si>
  <si>
    <t>Estudios del sistema integral de agua potable para la parroquia Río Blanco y los sectores de El Paraíso, Padre Carolo, Paús, Kachik Y Timbiana; y la evaluación, diagnóstico y diseños definitivos del sistema de alcantarillado sanitario y pluvial de Río Blanco, El Paraíso y San Gregorio, del cantón Morona</t>
  </si>
  <si>
    <t>Estudios y diseños integrales para la ampliación y mejoramiento del sistema de alcantarillado sanitario, pluvial y plantas de tratamiento de la Parroquia El Pan y centro Parroquial de San Vicente, del cantón El Pan, provincia de Azuay</t>
  </si>
  <si>
    <t>Publicaciones en medios masivos de comunicación de la Solicitud de Expresión de Interés para los proyectos del Componente 2 (Estudios de Preinversión) y del Componente 3.1 (Asistencia Técnica)</t>
  </si>
  <si>
    <t>Fiscalización de los estudios y diseños de agua potable, alcantarillado sanitario, pluvial y tratamiento de aguas residuales para parroquias seleccionadas de los cantones Pasaje, Naranjal y Tosagua</t>
  </si>
  <si>
    <t>Versión 1.02</t>
  </si>
  <si>
    <t>Versión 1.03</t>
  </si>
  <si>
    <t>No objeción AFD QUITO 2020/092, de 24 de abril de 2020</t>
  </si>
  <si>
    <t>No objeción AFD QUITO/2019/181, de 20 de agosto de 2020.</t>
  </si>
  <si>
    <t>Memorando Nro. BDE-I-GDAT-2020-0534-M, 24 de junio de 2020</t>
  </si>
  <si>
    <t>Especialista Administrativo-Financiero de la Unidad de Gestión del Programa BDE/AFD/UE-LAIF</t>
  </si>
  <si>
    <t>Publicaciones en medios masivos de comunicación de la Solicitud de Expresión de Interés para proyectos del Componente 3.1 ( Asistencia Técnica a GADMs)</t>
  </si>
  <si>
    <t xml:space="preserve">Servicios de Publicación de las Solicitudes de Expresión de Interés y otros en medios masivos de comunicación (prensa escrita nacional). </t>
  </si>
  <si>
    <t>PLAN DE ADQUISICIONES Y COMPRAS (PAyC)</t>
  </si>
  <si>
    <t>Actualización Segunda Reforma</t>
  </si>
  <si>
    <t>Actualización Tercera Reforma</t>
  </si>
  <si>
    <t>No Objeción AFD Oficio AFD / QUITO 2020 /235 de 09 de septiembre de 2020</t>
  </si>
  <si>
    <t>Actualización Primera Reforma</t>
  </si>
  <si>
    <t xml:space="preserve">Actualización Cambios menores </t>
  </si>
  <si>
    <t xml:space="preserve">Solicitud de cotización y Conformación de Lista Corta </t>
  </si>
  <si>
    <t xml:space="preserve">Agente Supervisor (Jefe) de la Unidad de Gestión de Programa de Cooperación de Asistencia Técnica para el fortalecimiento de la gestión de servicios y el desarrollo de las inversiones de agua potable saneamiento y residuos sólidos. </t>
  </si>
  <si>
    <t xml:space="preserve">Especialista en Contratación de la Unidad de Gestión de Programa de Cooperación de Asistencia Técnica para el Fortalecimiento de la Gestión de Servicios y el desarrollo de las inversiones de agua potable saneamiento y residuos sólidos en el marco del programa BDE-AFD-LAIF. </t>
  </si>
  <si>
    <t xml:space="preserve">Experto en Ingeniería Sanitaria de la UGP BDE/AFD/LAIF </t>
  </si>
  <si>
    <t>Especialista en Contabilidad y Finanzas de la Unidad de Gestión del Programa de Cooperación de Asistencia Técnica para el fortalecimiento de la gestión de servicios y el desarrollo de las inversiones de agua potable, saneamiento y residuos solidos, en el marco del programa BDE-AFD-LAIF.</t>
  </si>
  <si>
    <t xml:space="preserve">Asistente en contratación de la UGP del Programa BDE/AFD/UE-LAIF </t>
  </si>
  <si>
    <t>Apoyo en evaluación de ofertas, recepción de software y hardware, y supervisión de la implementación y puesta en operación de nuevo sistema informático  comercial para Empresas y direcciones municipales de agua potable y saneamiento.</t>
  </si>
  <si>
    <t>Apoyo en evaluación de ofertas, recepción de software y hardware,  y supervisión de la implementación y puesta en operación de nuevo sistema contable automatizado bajo normativa NIIF con centro de costos,  para Empresas y direcciones municipales de agua potable y saneamiento.</t>
  </si>
  <si>
    <t>Apoyo en proceso precontractual, recepción de equipos del laboratorio, y desarrollo de planes de acción para la certificación SAE.</t>
  </si>
  <si>
    <t>Febrero de 2021</t>
  </si>
  <si>
    <t>Prevista</t>
  </si>
  <si>
    <t>Monto estimado asignado Total en dólares 
(Sin IVA)</t>
  </si>
  <si>
    <t>Monto estimado asignado fijo 2021 en dólares 
(Sin IVA)</t>
  </si>
  <si>
    <t>Primer cuatrimestre de 2022</t>
  </si>
  <si>
    <t xml:space="preserve">Adenda al Contrato del Especialista en Contratación de la Unidad de Gestión de Programa de Cooperación de Asistencia Técnica para el Fortalecimiento de la Gestión de Servicios y el desarrollo de las inversiones de agua potable saneamiento y residuos sólidos en el marco del programa BDE-AFD-LAIF. </t>
  </si>
  <si>
    <t>Adenda</t>
  </si>
  <si>
    <t>Ptimer Cuatrimestre 2021</t>
  </si>
  <si>
    <t>Segundo Cuatrimestre 2021</t>
  </si>
  <si>
    <t>Tercer Cuatrimestre 2021</t>
  </si>
  <si>
    <t>Suministro de equipos de computación e impresoras para Direcciones Municipales de agua potable y alcantarillado de Guano y Latacunga.</t>
  </si>
  <si>
    <t>Suministro, implementación y puesta en operación de nuevo sistema informático comercial para empresas públicas y direcciones municipales de agua potable y alcantarillado.</t>
  </si>
  <si>
    <t>Consultor individual</t>
  </si>
  <si>
    <t xml:space="preserve">Adenda al Contrato de Asistente Administrativo para la Unidad de Gestión del Programa </t>
  </si>
  <si>
    <t>Adenda al Contrato "Elaboración e implementación del Plan de Comunicación y Visibilidad del Programa BDE/AFD/UE-LAIF</t>
  </si>
  <si>
    <t>Monto estimado asignado fijo 2022 en dólares 
(Sin IVA)</t>
  </si>
  <si>
    <t>Primer Cuatrimestre de 2022</t>
  </si>
  <si>
    <t>tercer cuatrimestre de 2022</t>
  </si>
  <si>
    <t>Tercer
Cuatrimestre 2022</t>
  </si>
  <si>
    <t>Tercer Cuatrimestre de 2022</t>
  </si>
  <si>
    <t>Segundo Cuatrimestre de 2022</t>
  </si>
  <si>
    <t>Primer Cuatrimestre de 2023</t>
  </si>
  <si>
    <t>segundo cuatrimestre de 2022</t>
  </si>
  <si>
    <t>Monto estimado asignado fijo 2023 en dólares  (Sin IVA)</t>
  </si>
  <si>
    <t>Tercer cuatrimestre de 2021</t>
  </si>
  <si>
    <t>Tercer cuatrimestre 2022</t>
  </si>
  <si>
    <t>Segundo cuatrimestre de 2022</t>
  </si>
  <si>
    <t>Analista de Comunicación</t>
  </si>
  <si>
    <t xml:space="preserve">Analista de contratación de la UGP del Programa BDE/AFD/UE-LAIF </t>
  </si>
  <si>
    <t>Tercer cuatrimestre de 2022</t>
  </si>
  <si>
    <t>Previsto. Sujeto ampliación del Programa. (Valores disponibles a la fecha, los mismos que serán ajustados con el presupuesto referencial de la Consultoría de AFD</t>
  </si>
  <si>
    <t>Segundo cuatrimestre de 2021</t>
  </si>
  <si>
    <t>Contratación de Consultoría de Asistencia Técnica para la Administración, Implementación y Seguimiento del ”Programa de Cooperación de Asistencia Técnica para el fortalecimiento de la gestión de servicios y el desarrollo de las inversiones de agua potable y saneamiento, y residuos sólidos, en el Marco del Programa BDE/AFD/UE-LAIF”</t>
  </si>
  <si>
    <t>Primer cuatrimestre de 2023</t>
  </si>
  <si>
    <t>Primer cuatrimestre de 2021</t>
  </si>
  <si>
    <t>Concluído (en ejecución garantía técnica)</t>
  </si>
  <si>
    <t>Tercer cuatrimestre de 2020</t>
  </si>
  <si>
    <t>Segundo cuatrimestre de 2020</t>
  </si>
  <si>
    <t>Tercer cuatrimestre de 2019</t>
  </si>
  <si>
    <t>Segundo cuatrimestre de 2019</t>
  </si>
  <si>
    <t>Pendiente terminación anticipada contrato</t>
  </si>
  <si>
    <t>Contrato terminaado unilateralmente</t>
  </si>
  <si>
    <t>Tercer cuatrimestre de 2018</t>
  </si>
  <si>
    <t>Primer cuatrimestre 2019</t>
  </si>
  <si>
    <t>Tecer  cuatrimestre de 2021</t>
  </si>
  <si>
    <t>Concluído</t>
  </si>
  <si>
    <t>Segundo cuatrimestre 2021</t>
  </si>
  <si>
    <t>Segundo cuatrimestre de 2018</t>
  </si>
  <si>
    <t>Terinación anticipada del contrato</t>
  </si>
  <si>
    <t>Prmer cuatrimestre de 2023</t>
  </si>
  <si>
    <t>Primer  cuatrimestre de 2023</t>
  </si>
  <si>
    <t>Primestre cuatrimestre de 2023</t>
  </si>
  <si>
    <t>Pediente Terminación unilateral del contrato</t>
  </si>
  <si>
    <t>Pendiente Terminación unilateral del contrato</t>
  </si>
  <si>
    <t>(en blanco)</t>
  </si>
  <si>
    <t>Total general</t>
  </si>
  <si>
    <t>Suma de Monto estimado asignado Total en dólares 
(Sin IVA)</t>
  </si>
  <si>
    <t>Etiquetas de columna</t>
  </si>
  <si>
    <t>Adquisición Competitiva Nacional/Norma AFD</t>
  </si>
  <si>
    <t>Auditoria del Programa BDE/AFD/LAIF por el año 2022 y 2023</t>
  </si>
  <si>
    <t>Experto en Gestión de Servicios de Agua y Saneamiento de la Unidad de Gestión del Programa de Cooperación de Asistencia Técnica para el fortalecimiento de la gestión de servicios y el desarrollo de las inversiones de agua potable, saneamiento y residuos solidos, en el marco del programa BDE-AFD-LAIF</t>
  </si>
  <si>
    <t>Tercer
Cuatrimestre 2021</t>
  </si>
  <si>
    <t xml:space="preserve">Analista Administrativo para la Unidad de Gestión del Programa BDE/AFD/UE-LAIF </t>
  </si>
  <si>
    <t>Primer cuatrimestre 2022</t>
  </si>
  <si>
    <t>Selección Basada en Calidad y Costo</t>
  </si>
  <si>
    <r>
      <t xml:space="preserve"> Experto en Gestión de Servicios de Agua y Saneamiento de la Unidad de Gestión del Programa de Cooperación de Asistencia Técnica para el fortalecimiento de la gestión de servicios y el desarrollo de las inversiones de agua potable, saneamiento y residuos solidos, en el marco del programa BDE-AFD-LAIF</t>
    </r>
    <r>
      <rPr>
        <sz val="10"/>
        <color theme="1"/>
        <rFont val="Calibri"/>
        <family val="2"/>
        <scheme val="minor"/>
      </rPr>
      <t>; y, Adenda.</t>
    </r>
  </si>
  <si>
    <t>730601
Consultoría</t>
  </si>
  <si>
    <t>Tercer cuatrimestre 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</si>
</sst>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4" formatCode="_ &quot;$&quot;* #,##0.00_ ;_ &quot;$&quot;* \-#,##0.00_ ;_ &quot;$&quot;* &quot;-&quot;??_ ;_ @_ "/>
    <numFmt numFmtId="164" formatCode="_-* #,##0.00\ &quot;€&quot;_-;\-* #,##0.00\ &quot;€&quot;_-;_-* &quot;-&quot;??\ &quot;€&quot;_-;_-@_-"/>
    <numFmt numFmtId="165" formatCode="_-* #,##0.00\ _€_-;\-* #,##0.00\ _€_-;_-* &quot;-&quot;??\ _€_-;_-@_-"/>
    <numFmt numFmtId="166" formatCode="_(* #,##0.00_);_(* \(#,##0.00\);_(* &quot;-&quot;??_);_(@_)"/>
    <numFmt numFmtId="167" formatCode="#,##0.0"/>
    <numFmt numFmtId="168" formatCode="0.0%"/>
    <numFmt numFmtId="169" formatCode="#,##0.000"/>
    <numFmt numFmtId="170" formatCode="#,##0\ &quot;€&quot;"/>
    <numFmt numFmtId="171" formatCode="_(&quot;$&quot;\ * #,##0_);_(&quot;$&quot;\ * \(#,##0\);_(&quot;$&quot;\ * &quot;-&quot;??_);_(@_)"/>
    <numFmt numFmtId="172" formatCode="&quot;$&quot;#,##0.00"/>
    <numFmt numFmtId="173" formatCode="[$€-2]\ #,##0.00"/>
  </numFmts>
  <fonts count="70" x14ac:knownFonts="1">
    <font>
      <sz val="11"/>
      <color theme="1"/>
      <name val="Calibri"/>
      <family val="2"/>
      <scheme val="minor"/>
    </font>
    <font>
      <sz val="10"/>
      <color theme="1"/>
      <name val="Arial"/>
      <family val="2"/>
    </font>
    <font>
      <b/>
      <sz val="10"/>
      <color theme="1"/>
      <name val="Arial"/>
      <family val="2"/>
    </font>
    <font>
      <b/>
      <sz val="8"/>
      <color theme="1"/>
      <name val="Arial"/>
      <family val="2"/>
    </font>
    <font>
      <sz val="11"/>
      <color theme="1"/>
      <name val="Calibri"/>
      <family val="2"/>
      <scheme val="minor"/>
    </font>
    <font>
      <b/>
      <sz val="14"/>
      <color rgb="FFFF0000"/>
      <name val="Arial"/>
      <family val="2"/>
    </font>
    <font>
      <b/>
      <sz val="11"/>
      <color theme="0"/>
      <name val="Calibri"/>
      <family val="2"/>
      <scheme val="minor"/>
    </font>
    <font>
      <sz val="11"/>
      <color theme="0"/>
      <name val="Calibri"/>
      <family val="2"/>
      <scheme val="minor"/>
    </font>
    <font>
      <b/>
      <sz val="14"/>
      <color theme="0"/>
      <name val="Arial"/>
      <family val="2"/>
    </font>
    <font>
      <sz val="10"/>
      <color theme="0"/>
      <name val="Arial"/>
      <family val="2"/>
    </font>
    <font>
      <b/>
      <sz val="10"/>
      <color theme="0"/>
      <name val="Arial"/>
      <family val="2"/>
    </font>
    <font>
      <sz val="11"/>
      <color theme="0"/>
      <name val="Arial"/>
      <family val="2"/>
    </font>
    <font>
      <b/>
      <sz val="11"/>
      <color theme="1"/>
      <name val="Calibri"/>
      <family val="2"/>
      <scheme val="minor"/>
    </font>
    <font>
      <b/>
      <sz val="11"/>
      <color theme="0"/>
      <name val="Arial"/>
      <family val="2"/>
    </font>
    <font>
      <i/>
      <sz val="11"/>
      <color theme="1"/>
      <name val="Calibri"/>
      <family val="2"/>
      <scheme val="minor"/>
    </font>
    <font>
      <i/>
      <sz val="10"/>
      <color theme="1"/>
      <name val="Arial"/>
      <family val="2"/>
    </font>
    <font>
      <b/>
      <i/>
      <sz val="10"/>
      <color theme="1"/>
      <name val="Arial"/>
      <family val="2"/>
    </font>
    <font>
      <b/>
      <sz val="10"/>
      <color rgb="FFFF0000"/>
      <name val="Arial"/>
      <family val="2"/>
    </font>
    <font>
      <b/>
      <sz val="12"/>
      <color theme="1"/>
      <name val="Calibri"/>
      <family val="2"/>
      <scheme val="minor"/>
    </font>
    <font>
      <sz val="9"/>
      <color theme="1"/>
      <name val="Arial"/>
      <family val="2"/>
    </font>
    <font>
      <b/>
      <i/>
      <sz val="9"/>
      <color theme="1"/>
      <name val="Arial"/>
      <family val="2"/>
    </font>
    <font>
      <i/>
      <sz val="10"/>
      <color rgb="FF0070C0"/>
      <name val="Arial"/>
      <family val="2"/>
    </font>
    <font>
      <i/>
      <sz val="9"/>
      <color rgb="FF0070C0"/>
      <name val="Arial"/>
      <family val="2"/>
    </font>
    <font>
      <b/>
      <sz val="9"/>
      <color theme="1"/>
      <name val="Arial"/>
      <family val="2"/>
    </font>
    <font>
      <b/>
      <sz val="11"/>
      <color rgb="FF1D1B11"/>
      <name val="Times New Roman"/>
      <family val="1"/>
    </font>
    <font>
      <sz val="11"/>
      <color rgb="FF1D1B11"/>
      <name val="Times New Roman"/>
      <family val="1"/>
    </font>
    <font>
      <i/>
      <sz val="11"/>
      <color rgb="FF1D1B11"/>
      <name val="Times New Roman"/>
      <family val="1"/>
    </font>
    <font>
      <b/>
      <sz val="11"/>
      <color theme="1"/>
      <name val="Times New Roman"/>
      <family val="1"/>
    </font>
    <font>
      <sz val="11"/>
      <color theme="1"/>
      <name val="Times New Roman"/>
      <family val="1"/>
    </font>
    <font>
      <b/>
      <sz val="11"/>
      <color rgb="FF632423"/>
      <name val="Times New Roman"/>
      <family val="1"/>
    </font>
    <font>
      <b/>
      <sz val="11"/>
      <color rgb="FF244061"/>
      <name val="Times New Roman"/>
      <family val="1"/>
    </font>
    <font>
      <sz val="11"/>
      <color theme="1"/>
      <name val="Arial"/>
      <family val="2"/>
    </font>
    <font>
      <b/>
      <sz val="11"/>
      <color theme="1"/>
      <name val="Arial"/>
      <family val="2"/>
    </font>
    <font>
      <b/>
      <sz val="11"/>
      <name val="Arial"/>
      <family val="2"/>
    </font>
    <font>
      <sz val="11"/>
      <name val="Arial"/>
      <family val="2"/>
    </font>
    <font>
      <b/>
      <i/>
      <sz val="11"/>
      <color rgb="FF1D1B11"/>
      <name val="Times New Roman"/>
      <family val="1"/>
    </font>
    <font>
      <sz val="10"/>
      <color rgb="FF000000"/>
      <name val="Arial"/>
      <family val="2"/>
    </font>
    <font>
      <b/>
      <sz val="10"/>
      <color rgb="FF000000"/>
      <name val="Arial"/>
      <family val="2"/>
    </font>
    <font>
      <sz val="10"/>
      <color theme="1"/>
      <name val="Calibri"/>
      <family val="2"/>
      <scheme val="minor"/>
    </font>
    <font>
      <b/>
      <sz val="10"/>
      <color theme="1"/>
      <name val="Calibri"/>
      <family val="2"/>
      <scheme val="minor"/>
    </font>
    <font>
      <sz val="8"/>
      <color theme="1"/>
      <name val="Calibri"/>
      <family val="2"/>
      <scheme val="minor"/>
    </font>
    <font>
      <sz val="12"/>
      <color theme="1"/>
      <name val="Calibri"/>
      <family val="2"/>
      <scheme val="minor"/>
    </font>
    <font>
      <b/>
      <sz val="9"/>
      <color rgb="FF000000"/>
      <name val="Calibri"/>
      <family val="2"/>
      <scheme val="minor"/>
    </font>
    <font>
      <b/>
      <sz val="9"/>
      <color rgb="FF000000"/>
      <name val="Arial"/>
      <family val="2"/>
    </font>
    <font>
      <sz val="10"/>
      <name val="Arial"/>
      <family val="2"/>
    </font>
    <font>
      <sz val="14"/>
      <color theme="1"/>
      <name val="Calibri"/>
      <family val="2"/>
      <scheme val="minor"/>
    </font>
    <font>
      <b/>
      <sz val="14"/>
      <name val="Arial"/>
      <family val="2"/>
    </font>
    <font>
      <sz val="14"/>
      <color theme="0"/>
      <name val="Calibri"/>
      <family val="2"/>
      <scheme val="minor"/>
    </font>
    <font>
      <sz val="14"/>
      <color theme="1"/>
      <name val="Arial"/>
      <family val="2"/>
    </font>
    <font>
      <sz val="14"/>
      <color theme="0"/>
      <name val="Arial"/>
      <family val="2"/>
    </font>
    <font>
      <sz val="9"/>
      <color indexed="81"/>
      <name val="Tahoma"/>
      <family val="2"/>
    </font>
    <font>
      <b/>
      <sz val="9"/>
      <color indexed="81"/>
      <name val="Tahoma"/>
      <family val="2"/>
    </font>
    <font>
      <i/>
      <sz val="10"/>
      <color theme="1"/>
      <name val="Calibri"/>
      <family val="2"/>
      <scheme val="minor"/>
    </font>
    <font>
      <b/>
      <sz val="10"/>
      <name val="Calibri"/>
      <family val="2"/>
      <scheme val="minor"/>
    </font>
    <font>
      <b/>
      <sz val="10"/>
      <color rgb="FF000000"/>
      <name val="Calibri"/>
      <family val="2"/>
      <scheme val="minor"/>
    </font>
    <font>
      <b/>
      <sz val="10"/>
      <color theme="0"/>
      <name val="Calibri"/>
      <family val="2"/>
      <scheme val="minor"/>
    </font>
    <font>
      <b/>
      <sz val="20"/>
      <color theme="1"/>
      <name val="Calibri"/>
      <family val="2"/>
      <scheme val="minor"/>
    </font>
    <font>
      <b/>
      <sz val="14"/>
      <color theme="1"/>
      <name val="Calibri"/>
      <family val="2"/>
      <scheme val="minor"/>
    </font>
    <font>
      <b/>
      <sz val="16"/>
      <color theme="1"/>
      <name val="Calibri"/>
      <family val="2"/>
      <scheme val="minor"/>
    </font>
    <font>
      <b/>
      <sz val="12"/>
      <color theme="8"/>
      <name val="Calibri"/>
      <family val="2"/>
      <scheme val="minor"/>
    </font>
    <font>
      <sz val="10"/>
      <color theme="1" tint="0.14999847407452621"/>
      <name val="Calibri"/>
      <family val="2"/>
      <scheme val="minor"/>
    </font>
    <font>
      <b/>
      <sz val="10"/>
      <color theme="1" tint="0.14999847407452621"/>
      <name val="Calibri"/>
      <family val="2"/>
      <scheme val="minor"/>
    </font>
    <font>
      <b/>
      <sz val="10"/>
      <color theme="8"/>
      <name val="Calibri"/>
      <family val="2"/>
      <scheme val="minor"/>
    </font>
    <font>
      <sz val="10"/>
      <name val="Calibri"/>
      <family val="2"/>
      <scheme val="minor"/>
    </font>
    <font>
      <b/>
      <sz val="12"/>
      <color theme="4" tint="-0.499984740745262"/>
      <name val="Calibri"/>
      <family val="2"/>
      <scheme val="minor"/>
    </font>
    <font>
      <b/>
      <sz val="11"/>
      <color theme="4" tint="-0.499984740745262"/>
      <name val="Calibri"/>
      <family val="2"/>
      <scheme val="minor"/>
    </font>
    <font>
      <b/>
      <sz val="10"/>
      <color theme="4" tint="-0.499984740745262"/>
      <name val="Calibri"/>
      <family val="2"/>
      <scheme val="minor"/>
    </font>
    <font>
      <sz val="12"/>
      <color theme="4" tint="-0.499984740745262"/>
      <name val="Calibri"/>
      <family val="2"/>
      <scheme val="minor"/>
    </font>
    <font>
      <b/>
      <sz val="10"/>
      <color rgb="FFFF0000"/>
      <name val="Calibri"/>
      <family val="2"/>
      <scheme val="minor"/>
    </font>
    <font>
      <b/>
      <sz val="10"/>
      <color theme="5"/>
      <name val="Calibri"/>
      <family val="2"/>
      <scheme val="minor"/>
    </font>
  </fonts>
  <fills count="24">
    <fill>
      <patternFill patternType="none"/>
    </fill>
    <fill>
      <patternFill patternType="gray125"/>
    </fill>
    <fill>
      <patternFill patternType="solid">
        <fgColor theme="0"/>
        <bgColor indexed="64"/>
      </patternFill>
    </fill>
    <fill>
      <patternFill patternType="solid">
        <fgColor rgb="FFFFC000"/>
        <bgColor indexed="64"/>
      </patternFill>
    </fill>
    <fill>
      <patternFill patternType="solid">
        <fgColor rgb="FFFFFF00"/>
        <bgColor indexed="64"/>
      </patternFill>
    </fill>
    <fill>
      <patternFill patternType="lightGray">
        <bgColor rgb="FFBFBFBF"/>
      </patternFill>
    </fill>
    <fill>
      <patternFill patternType="solid">
        <fgColor rgb="FFEEECE1"/>
        <bgColor indexed="64"/>
      </patternFill>
    </fill>
    <fill>
      <patternFill patternType="solid">
        <fgColor rgb="FFF2DBDB"/>
        <bgColor indexed="64"/>
      </patternFill>
    </fill>
    <fill>
      <patternFill patternType="solid">
        <fgColor rgb="FFDBE5F1"/>
        <bgColor indexed="64"/>
      </patternFill>
    </fill>
    <fill>
      <patternFill patternType="solid">
        <fgColor theme="0" tint="-4.9989318521683403E-2"/>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rgb="FF92D050"/>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rgb="FF2980FF"/>
        <bgColor indexed="64"/>
      </patternFill>
    </fill>
    <fill>
      <patternFill patternType="solid">
        <fgColor rgb="FFECF3FA"/>
        <bgColor indexed="64"/>
      </patternFill>
    </fill>
    <fill>
      <patternFill patternType="solid">
        <fgColor rgb="FFDAE9F6"/>
        <bgColor indexed="64"/>
      </patternFill>
    </fill>
    <fill>
      <patternFill patternType="solid">
        <fgColor theme="7" tint="0.79998168889431442"/>
        <bgColor indexed="64"/>
      </patternFill>
    </fill>
    <fill>
      <patternFill patternType="solid">
        <fgColor rgb="FF97F397"/>
        <bgColor indexed="64"/>
      </patternFill>
    </fill>
    <fill>
      <patternFill patternType="solid">
        <fgColor rgb="FF00B0F0"/>
        <bgColor indexed="64"/>
      </patternFill>
    </fill>
    <fill>
      <patternFill patternType="solid">
        <fgColor rgb="FFF4F2A0"/>
        <bgColor indexed="64"/>
      </patternFill>
    </fill>
  </fills>
  <borders count="75">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right style="thin">
        <color indexed="64"/>
      </right>
      <top style="medium">
        <color indexed="64"/>
      </top>
      <bottom style="thin">
        <color indexed="64"/>
      </bottom>
      <diagonal/>
    </border>
    <border>
      <left/>
      <right style="thin">
        <color indexed="64"/>
      </right>
      <top/>
      <bottom/>
      <diagonal/>
    </border>
  </borders>
  <cellStyleXfs count="5">
    <xf numFmtId="0" fontId="0" fillId="0" borderId="0"/>
    <xf numFmtId="9" fontId="4" fillId="0" borderId="0" applyFont="0" applyFill="0" applyBorder="0" applyAlignment="0" applyProtection="0"/>
    <xf numFmtId="164" fontId="4" fillId="0" borderId="0" applyFont="0" applyFill="0" applyBorder="0" applyAlignment="0" applyProtection="0"/>
    <xf numFmtId="165" fontId="4" fillId="0" borderId="0" applyFont="0" applyFill="0" applyBorder="0" applyAlignment="0" applyProtection="0"/>
    <xf numFmtId="0" fontId="44" fillId="0" borderId="0"/>
  </cellStyleXfs>
  <cellXfs count="1094">
    <xf numFmtId="0" fontId="0" fillId="0" borderId="0" xfId="0"/>
    <xf numFmtId="0" fontId="1" fillId="0" borderId="0" xfId="0" applyFont="1"/>
    <xf numFmtId="0" fontId="0" fillId="0" borderId="0" xfId="0" applyFill="1"/>
    <xf numFmtId="0" fontId="7" fillId="0" borderId="0" xfId="0" applyFont="1" applyFill="1"/>
    <xf numFmtId="0" fontId="12" fillId="0" borderId="0" xfId="0" applyFont="1" applyFill="1"/>
    <xf numFmtId="0" fontId="14" fillId="0" borderId="0" xfId="0" applyFont="1"/>
    <xf numFmtId="0" fontId="12" fillId="0" borderId="0" xfId="0" applyFont="1"/>
    <xf numFmtId="167" fontId="0" fillId="0" borderId="0" xfId="0" applyNumberFormat="1"/>
    <xf numFmtId="0" fontId="1" fillId="0" borderId="9" xfId="0" applyFont="1" applyBorder="1" applyAlignment="1">
      <alignment vertical="center" wrapText="1"/>
    </xf>
    <xf numFmtId="4" fontId="12" fillId="0" borderId="51" xfId="0" applyNumberFormat="1" applyFont="1" applyBorder="1" applyAlignment="1">
      <alignment wrapText="1"/>
    </xf>
    <xf numFmtId="0" fontId="2" fillId="0" borderId="52" xfId="0" applyFont="1" applyBorder="1" applyAlignment="1">
      <alignment vertical="center" wrapText="1"/>
    </xf>
    <xf numFmtId="0" fontId="15" fillId="0" borderId="36" xfId="0" applyFont="1" applyBorder="1" applyAlignment="1">
      <alignment vertical="center" wrapText="1"/>
    </xf>
    <xf numFmtId="4" fontId="12" fillId="0" borderId="19" xfId="0" applyNumberFormat="1" applyFont="1" applyBorder="1" applyAlignment="1">
      <alignment wrapText="1"/>
    </xf>
    <xf numFmtId="0" fontId="2" fillId="0" borderId="8" xfId="0" applyFont="1" applyBorder="1" applyAlignment="1">
      <alignment vertical="center" wrapText="1"/>
    </xf>
    <xf numFmtId="0" fontId="15" fillId="0" borderId="18" xfId="0" applyFont="1" applyBorder="1" applyAlignment="1">
      <alignment vertical="center" wrapText="1"/>
    </xf>
    <xf numFmtId="0" fontId="2" fillId="0" borderId="8" xfId="0" applyFont="1" applyFill="1" applyBorder="1" applyAlignment="1">
      <alignment vertical="center" wrapText="1"/>
    </xf>
    <xf numFmtId="0" fontId="2" fillId="4" borderId="8" xfId="0" applyFont="1" applyFill="1" applyBorder="1" applyAlignment="1">
      <alignment vertical="center" wrapText="1"/>
    </xf>
    <xf numFmtId="4" fontId="14" fillId="0" borderId="43" xfId="0" applyNumberFormat="1" applyFont="1" applyBorder="1" applyAlignment="1">
      <alignment wrapText="1"/>
    </xf>
    <xf numFmtId="167" fontId="15" fillId="0" borderId="42" xfId="0" applyNumberFormat="1" applyFont="1" applyBorder="1" applyAlignment="1">
      <alignment vertical="center" wrapText="1"/>
    </xf>
    <xf numFmtId="0" fontId="15" fillId="0" borderId="35" xfId="0" applyFont="1" applyBorder="1" applyAlignment="1">
      <alignment vertical="center" wrapText="1"/>
    </xf>
    <xf numFmtId="0" fontId="1" fillId="5" borderId="22" xfId="0" applyFont="1" applyFill="1" applyBorder="1" applyAlignment="1">
      <alignment vertical="center" wrapText="1"/>
    </xf>
    <xf numFmtId="0" fontId="1" fillId="0" borderId="22" xfId="0" applyFont="1" applyBorder="1" applyAlignment="1">
      <alignment vertical="center" wrapText="1"/>
    </xf>
    <xf numFmtId="0" fontId="19" fillId="0" borderId="22" xfId="0" applyFont="1" applyBorder="1" applyAlignment="1">
      <alignment vertical="center" wrapText="1"/>
    </xf>
    <xf numFmtId="0" fontId="2" fillId="0" borderId="22" xfId="0" applyFont="1" applyBorder="1" applyAlignment="1">
      <alignment vertical="center" wrapText="1"/>
    </xf>
    <xf numFmtId="4" fontId="2" fillId="0" borderId="22" xfId="0" applyNumberFormat="1" applyFont="1" applyBorder="1" applyAlignment="1">
      <alignment vertical="center" wrapText="1"/>
    </xf>
    <xf numFmtId="0" fontId="2" fillId="0" borderId="22" xfId="0" applyFont="1" applyBorder="1" applyAlignment="1">
      <alignment horizontal="center" vertical="center" wrapText="1"/>
    </xf>
    <xf numFmtId="0" fontId="16" fillId="0" borderId="22" xfId="0" applyFont="1" applyBorder="1" applyAlignment="1">
      <alignment horizontal="center" vertical="center" wrapText="1"/>
    </xf>
    <xf numFmtId="4" fontId="1" fillId="0" borderId="22" xfId="0" applyNumberFormat="1" applyFont="1" applyBorder="1" applyAlignment="1">
      <alignment vertical="center" wrapText="1"/>
    </xf>
    <xf numFmtId="4" fontId="1" fillId="0" borderId="41" xfId="0" applyNumberFormat="1" applyFont="1" applyBorder="1" applyAlignment="1">
      <alignment vertical="center" wrapText="1"/>
    </xf>
    <xf numFmtId="4" fontId="2" fillId="0" borderId="53" xfId="0" applyNumberFormat="1" applyFont="1" applyBorder="1" applyAlignment="1">
      <alignment vertical="center" wrapText="1"/>
    </xf>
    <xf numFmtId="4" fontId="2" fillId="0" borderId="55" xfId="0" applyNumberFormat="1" applyFont="1" applyBorder="1" applyAlignment="1">
      <alignment vertical="center" wrapText="1"/>
    </xf>
    <xf numFmtId="0" fontId="20" fillId="0" borderId="22" xfId="0" applyFont="1" applyBorder="1" applyAlignment="1">
      <alignment horizontal="center" vertical="center" wrapText="1"/>
    </xf>
    <xf numFmtId="167" fontId="2" fillId="0" borderId="41" xfId="0" applyNumberFormat="1" applyFont="1" applyBorder="1" applyAlignment="1">
      <alignment vertical="center" wrapText="1"/>
    </xf>
    <xf numFmtId="0" fontId="2" fillId="0" borderId="41" xfId="0" applyFont="1" applyBorder="1" applyAlignment="1">
      <alignment vertical="center" wrapText="1"/>
    </xf>
    <xf numFmtId="0" fontId="2" fillId="0" borderId="9" xfId="0" applyFont="1" applyBorder="1" applyAlignment="1">
      <alignment vertical="center" wrapText="1"/>
    </xf>
    <xf numFmtId="4" fontId="21" fillId="0" borderId="17" xfId="0" applyNumberFormat="1" applyFont="1" applyBorder="1" applyAlignment="1">
      <alignment vertical="center" wrapText="1"/>
    </xf>
    <xf numFmtId="4" fontId="21" fillId="0" borderId="22" xfId="0" applyNumberFormat="1" applyFont="1" applyBorder="1" applyAlignment="1">
      <alignment vertical="center" wrapText="1"/>
    </xf>
    <xf numFmtId="4" fontId="21" fillId="0" borderId="20" xfId="0" applyNumberFormat="1" applyFont="1" applyBorder="1" applyAlignment="1">
      <alignment vertical="center" wrapText="1"/>
    </xf>
    <xf numFmtId="0" fontId="21" fillId="0" borderId="32" xfId="0" applyFont="1" applyBorder="1" applyAlignment="1">
      <alignment horizontal="left" vertical="center" wrapText="1" indent="1"/>
    </xf>
    <xf numFmtId="4" fontId="21" fillId="0" borderId="16" xfId="0" applyNumberFormat="1" applyFont="1" applyBorder="1" applyAlignment="1">
      <alignment vertical="center" wrapText="1"/>
    </xf>
    <xf numFmtId="0" fontId="21" fillId="0" borderId="50" xfId="0" applyFont="1" applyBorder="1" applyAlignment="1">
      <alignment horizontal="left" vertical="center" wrapText="1" indent="1"/>
    </xf>
    <xf numFmtId="167" fontId="21" fillId="0" borderId="17" xfId="0" applyNumberFormat="1" applyFont="1" applyBorder="1" applyAlignment="1">
      <alignment vertical="center" wrapText="1"/>
    </xf>
    <xf numFmtId="0" fontId="21" fillId="0" borderId="17" xfId="0" applyFont="1" applyBorder="1" applyAlignment="1">
      <alignment vertical="center" wrapText="1"/>
    </xf>
    <xf numFmtId="0" fontId="21" fillId="0" borderId="16" xfId="0" applyFont="1" applyBorder="1" applyAlignment="1">
      <alignment vertical="center" wrapText="1"/>
    </xf>
    <xf numFmtId="167" fontId="2" fillId="0" borderId="33" xfId="0" applyNumberFormat="1" applyFont="1" applyBorder="1" applyAlignment="1">
      <alignment vertical="center" wrapText="1"/>
    </xf>
    <xf numFmtId="0" fontId="2" fillId="0" borderId="33" xfId="0" applyFont="1" applyBorder="1" applyAlignment="1">
      <alignment vertical="center" wrapText="1"/>
    </xf>
    <xf numFmtId="0" fontId="2" fillId="0" borderId="53" xfId="0" applyFont="1" applyBorder="1" applyAlignment="1">
      <alignment vertical="center" wrapText="1"/>
    </xf>
    <xf numFmtId="0" fontId="2" fillId="0" borderId="55" xfId="0" applyFont="1" applyBorder="1" applyAlignment="1">
      <alignment vertical="center" wrapText="1"/>
    </xf>
    <xf numFmtId="0" fontId="19" fillId="0" borderId="22" xfId="0" applyFont="1" applyBorder="1" applyAlignment="1">
      <alignment horizontal="center" vertical="center" wrapText="1"/>
    </xf>
    <xf numFmtId="0" fontId="2" fillId="0" borderId="41" xfId="0" applyFont="1" applyBorder="1" applyAlignment="1">
      <alignment horizontal="center" vertical="center" wrapText="1"/>
    </xf>
    <xf numFmtId="9" fontId="2" fillId="0" borderId="22" xfId="1" applyFont="1" applyBorder="1" applyAlignment="1">
      <alignment horizontal="center" vertical="center" wrapText="1"/>
    </xf>
    <xf numFmtId="4" fontId="2" fillId="0" borderId="22" xfId="0" applyNumberFormat="1" applyFont="1" applyBorder="1" applyAlignment="1">
      <alignment horizontal="center" vertical="center" wrapText="1"/>
    </xf>
    <xf numFmtId="9" fontId="19" fillId="0" borderId="22" xfId="1" applyFont="1" applyBorder="1" applyAlignment="1">
      <alignment horizontal="center" vertical="center" wrapText="1"/>
    </xf>
    <xf numFmtId="4" fontId="19" fillId="0" borderId="22" xfId="0" applyNumberFormat="1" applyFont="1" applyBorder="1" applyAlignment="1">
      <alignment horizontal="center" vertical="center" wrapText="1"/>
    </xf>
    <xf numFmtId="9" fontId="22" fillId="0" borderId="22" xfId="1" applyFont="1" applyBorder="1" applyAlignment="1">
      <alignment horizontal="center" vertical="center" wrapText="1"/>
    </xf>
    <xf numFmtId="4" fontId="22" fillId="0" borderId="22" xfId="0" applyNumberFormat="1" applyFont="1" applyBorder="1" applyAlignment="1">
      <alignment horizontal="center" vertical="center" wrapText="1"/>
    </xf>
    <xf numFmtId="9" fontId="23" fillId="0" borderId="22" xfId="1" applyFont="1" applyBorder="1" applyAlignment="1">
      <alignment horizontal="center" vertical="center" wrapText="1"/>
    </xf>
    <xf numFmtId="4" fontId="23" fillId="0" borderId="22" xfId="0" applyNumberFormat="1" applyFont="1" applyBorder="1" applyAlignment="1">
      <alignment horizontal="center" vertical="center" wrapText="1"/>
    </xf>
    <xf numFmtId="9" fontId="1" fillId="0" borderId="22" xfId="1" applyFont="1" applyBorder="1" applyAlignment="1">
      <alignment horizontal="center" vertical="center" wrapText="1"/>
    </xf>
    <xf numFmtId="4" fontId="1" fillId="0" borderId="22" xfId="0" applyNumberFormat="1" applyFont="1" applyBorder="1" applyAlignment="1">
      <alignment horizontal="center" vertical="center" wrapText="1"/>
    </xf>
    <xf numFmtId="9" fontId="15" fillId="0" borderId="17" xfId="1" applyFont="1" applyBorder="1" applyAlignment="1">
      <alignment horizontal="center" vertical="center" wrapText="1"/>
    </xf>
    <xf numFmtId="4" fontId="15" fillId="0" borderId="17" xfId="0" applyNumberFormat="1" applyFont="1" applyBorder="1" applyAlignment="1">
      <alignment horizontal="center" vertical="center" wrapText="1"/>
    </xf>
    <xf numFmtId="9" fontId="2" fillId="0" borderId="17" xfId="1" applyFont="1" applyBorder="1" applyAlignment="1">
      <alignment horizontal="center" vertical="center" wrapText="1"/>
    </xf>
    <xf numFmtId="4" fontId="2" fillId="0" borderId="17" xfId="0" applyNumberFormat="1" applyFont="1" applyBorder="1" applyAlignment="1">
      <alignment horizontal="center" vertical="center" wrapText="1"/>
    </xf>
    <xf numFmtId="9" fontId="2" fillId="0" borderId="9" xfId="1" applyFont="1" applyBorder="1" applyAlignment="1">
      <alignment vertical="center" wrapText="1"/>
    </xf>
    <xf numFmtId="9" fontId="24" fillId="6" borderId="34" xfId="1" applyFont="1" applyFill="1" applyBorder="1" applyAlignment="1">
      <alignment horizontal="center" vertical="center" wrapText="1"/>
    </xf>
    <xf numFmtId="9" fontId="24" fillId="6" borderId="38" xfId="1" applyFont="1" applyFill="1" applyBorder="1" applyAlignment="1">
      <alignment horizontal="center" vertical="center" wrapText="1"/>
    </xf>
    <xf numFmtId="9" fontId="24" fillId="6" borderId="37" xfId="1" applyFont="1" applyFill="1" applyBorder="1" applyAlignment="1">
      <alignment horizontal="center" vertical="center" wrapText="1"/>
    </xf>
    <xf numFmtId="10" fontId="25" fillId="6" borderId="41" xfId="1" applyNumberFormat="1" applyFont="1" applyFill="1" applyBorder="1" applyAlignment="1">
      <alignment horizontal="center" vertical="center" wrapText="1"/>
    </xf>
    <xf numFmtId="9" fontId="24" fillId="6" borderId="9" xfId="1" applyFont="1" applyFill="1" applyBorder="1" applyAlignment="1">
      <alignment horizontal="center" vertical="center" wrapText="1"/>
    </xf>
    <xf numFmtId="0" fontId="24" fillId="6" borderId="9" xfId="0" applyFont="1" applyFill="1" applyBorder="1" applyAlignment="1">
      <alignment horizontal="justify" vertical="center" wrapText="1"/>
    </xf>
    <xf numFmtId="4" fontId="24" fillId="6" borderId="34" xfId="0" applyNumberFormat="1" applyFont="1" applyFill="1" applyBorder="1" applyAlignment="1">
      <alignment horizontal="center" vertical="center" wrapText="1"/>
    </xf>
    <xf numFmtId="4" fontId="24" fillId="6" borderId="38" xfId="0" applyNumberFormat="1" applyFont="1" applyFill="1" applyBorder="1" applyAlignment="1">
      <alignment horizontal="center" vertical="center" wrapText="1"/>
    </xf>
    <xf numFmtId="4" fontId="24" fillId="6" borderId="37" xfId="0" applyNumberFormat="1" applyFont="1" applyFill="1" applyBorder="1" applyAlignment="1">
      <alignment horizontal="center" vertical="center" wrapText="1"/>
    </xf>
    <xf numFmtId="168" fontId="24" fillId="6" borderId="41" xfId="1" applyNumberFormat="1" applyFont="1" applyFill="1" applyBorder="1" applyAlignment="1">
      <alignment horizontal="center" vertical="center" wrapText="1"/>
    </xf>
    <xf numFmtId="4" fontId="24" fillId="6" borderId="9" xfId="0" applyNumberFormat="1" applyFont="1" applyFill="1" applyBorder="1" applyAlignment="1">
      <alignment horizontal="center" vertical="center" wrapText="1"/>
    </xf>
    <xf numFmtId="4" fontId="26" fillId="2" borderId="34" xfId="0" applyNumberFormat="1" applyFont="1" applyFill="1" applyBorder="1" applyAlignment="1">
      <alignment horizontal="center" vertical="center" wrapText="1"/>
    </xf>
    <xf numFmtId="4" fontId="26" fillId="2" borderId="38" xfId="0" applyNumberFormat="1" applyFont="1" applyFill="1" applyBorder="1" applyAlignment="1">
      <alignment horizontal="center" vertical="center" wrapText="1"/>
    </xf>
    <xf numFmtId="4" fontId="26" fillId="2" borderId="37" xfId="0" applyNumberFormat="1" applyFont="1" applyFill="1" applyBorder="1" applyAlignment="1">
      <alignment horizontal="center" vertical="center" wrapText="1"/>
    </xf>
    <xf numFmtId="168" fontId="26" fillId="2" borderId="41" xfId="1" applyNumberFormat="1" applyFont="1" applyFill="1" applyBorder="1" applyAlignment="1">
      <alignment horizontal="center" vertical="center" wrapText="1"/>
    </xf>
    <xf numFmtId="4" fontId="26" fillId="2" borderId="9" xfId="0" applyNumberFormat="1" applyFont="1" applyFill="1" applyBorder="1" applyAlignment="1">
      <alignment horizontal="center" vertical="center" wrapText="1"/>
    </xf>
    <xf numFmtId="0" fontId="26" fillId="2" borderId="9" xfId="0" applyFont="1" applyFill="1" applyBorder="1" applyAlignment="1">
      <alignment horizontal="justify" vertical="center" wrapText="1"/>
    </xf>
    <xf numFmtId="4" fontId="27" fillId="0" borderId="15" xfId="0" applyNumberFormat="1" applyFont="1" applyFill="1" applyBorder="1" applyAlignment="1">
      <alignment horizontal="center" vertical="center" wrapText="1"/>
    </xf>
    <xf numFmtId="4" fontId="27" fillId="0" borderId="56" xfId="0" applyNumberFormat="1" applyFont="1" applyFill="1" applyBorder="1" applyAlignment="1">
      <alignment horizontal="center" vertical="center" wrapText="1"/>
    </xf>
    <xf numFmtId="4" fontId="27" fillId="0" borderId="57" xfId="0" applyNumberFormat="1" applyFont="1" applyFill="1" applyBorder="1" applyAlignment="1">
      <alignment horizontal="center" vertical="center" wrapText="1"/>
    </xf>
    <xf numFmtId="10" fontId="28" fillId="0" borderId="19" xfId="1" applyNumberFormat="1" applyFont="1" applyBorder="1" applyAlignment="1">
      <alignment horizontal="center" vertical="center" wrapText="1"/>
    </xf>
    <xf numFmtId="4" fontId="27" fillId="0" borderId="31" xfId="0" applyNumberFormat="1" applyFont="1" applyBorder="1" applyAlignment="1">
      <alignment horizontal="center" vertical="center" wrapText="1"/>
    </xf>
    <xf numFmtId="0" fontId="28" fillId="0" borderId="58" xfId="0" applyFont="1" applyBorder="1" applyAlignment="1">
      <alignment horizontal="justify" vertical="center" wrapText="1"/>
    </xf>
    <xf numFmtId="168" fontId="28" fillId="0" borderId="19" xfId="1" applyNumberFormat="1" applyFont="1" applyBorder="1" applyAlignment="1">
      <alignment horizontal="center" vertical="center" wrapText="1"/>
    </xf>
    <xf numFmtId="4" fontId="27" fillId="0" borderId="1" xfId="0" applyNumberFormat="1" applyFont="1" applyFill="1" applyBorder="1" applyAlignment="1">
      <alignment horizontal="center" vertical="center" wrapText="1"/>
    </xf>
    <xf numFmtId="4" fontId="27" fillId="0" borderId="14" xfId="0" applyNumberFormat="1" applyFont="1" applyFill="1" applyBorder="1" applyAlignment="1">
      <alignment horizontal="center" vertical="center" wrapText="1"/>
    </xf>
    <xf numFmtId="4" fontId="27" fillId="0" borderId="59" xfId="0" applyNumberFormat="1" applyFont="1" applyFill="1" applyBorder="1" applyAlignment="1">
      <alignment horizontal="center" vertical="center" wrapText="1"/>
    </xf>
    <xf numFmtId="4" fontId="27" fillId="0" borderId="60" xfId="0" applyNumberFormat="1" applyFont="1" applyFill="1" applyBorder="1" applyAlignment="1">
      <alignment horizontal="center" vertical="center" wrapText="1"/>
    </xf>
    <xf numFmtId="4" fontId="27" fillId="0" borderId="61" xfId="0" applyNumberFormat="1" applyFont="1" applyFill="1" applyBorder="1" applyAlignment="1">
      <alignment horizontal="center" vertical="center" wrapText="1"/>
    </xf>
    <xf numFmtId="168" fontId="28" fillId="0" borderId="62" xfId="1" applyNumberFormat="1" applyFont="1" applyBorder="1" applyAlignment="1">
      <alignment horizontal="center" vertical="center" wrapText="1"/>
    </xf>
    <xf numFmtId="4" fontId="27" fillId="0" borderId="63" xfId="0" applyNumberFormat="1" applyFont="1" applyBorder="1" applyAlignment="1">
      <alignment horizontal="center" vertical="center" wrapText="1"/>
    </xf>
    <xf numFmtId="0" fontId="28" fillId="0" borderId="64" xfId="0" applyFont="1" applyBorder="1" applyAlignment="1">
      <alignment horizontal="justify" vertical="center" wrapText="1"/>
    </xf>
    <xf numFmtId="4" fontId="27" fillId="0" borderId="34" xfId="0" applyNumberFormat="1" applyFont="1" applyFill="1" applyBorder="1" applyAlignment="1">
      <alignment horizontal="center" vertical="center" wrapText="1"/>
    </xf>
    <xf numFmtId="4" fontId="27" fillId="0" borderId="38" xfId="0" applyNumberFormat="1" applyFont="1" applyBorder="1" applyAlignment="1">
      <alignment horizontal="center" vertical="center" wrapText="1"/>
    </xf>
    <xf numFmtId="4" fontId="27" fillId="0" borderId="37" xfId="0" applyNumberFormat="1" applyFont="1" applyBorder="1" applyAlignment="1">
      <alignment horizontal="center" vertical="center" wrapText="1"/>
    </xf>
    <xf numFmtId="168" fontId="28" fillId="0" borderId="41" xfId="1" applyNumberFormat="1" applyFont="1" applyBorder="1" applyAlignment="1">
      <alignment horizontal="center" vertical="center" wrapText="1"/>
    </xf>
    <xf numFmtId="4" fontId="27" fillId="0" borderId="9" xfId="0" applyNumberFormat="1" applyFont="1" applyBorder="1" applyAlignment="1">
      <alignment horizontal="center" vertical="center" wrapText="1"/>
    </xf>
    <xf numFmtId="0" fontId="28" fillId="0" borderId="39" xfId="0" applyFont="1" applyBorder="1" applyAlignment="1">
      <alignment horizontal="justify" vertical="center" wrapText="1"/>
    </xf>
    <xf numFmtId="4" fontId="27" fillId="0" borderId="34" xfId="0" applyNumberFormat="1" applyFont="1" applyBorder="1" applyAlignment="1">
      <alignment horizontal="center" vertical="center" wrapText="1"/>
    </xf>
    <xf numFmtId="0" fontId="29" fillId="7" borderId="34" xfId="0" applyFont="1" applyFill="1" applyBorder="1" applyAlignment="1">
      <alignment horizontal="center" vertical="center" wrapText="1"/>
    </xf>
    <xf numFmtId="0" fontId="29" fillId="7" borderId="38" xfId="0" applyFont="1" applyFill="1" applyBorder="1" applyAlignment="1">
      <alignment horizontal="center" vertical="center" wrapText="1"/>
    </xf>
    <xf numFmtId="0" fontId="29" fillId="7" borderId="37" xfId="0" applyFont="1" applyFill="1" applyBorder="1" applyAlignment="1">
      <alignment horizontal="center" vertical="center" wrapText="1"/>
    </xf>
    <xf numFmtId="9" fontId="29" fillId="7" borderId="41" xfId="1" applyFont="1" applyFill="1" applyBorder="1" applyAlignment="1">
      <alignment horizontal="center" vertical="center" wrapText="1"/>
    </xf>
    <xf numFmtId="0" fontId="29" fillId="7" borderId="9" xfId="0" applyFont="1" applyFill="1" applyBorder="1" applyAlignment="1">
      <alignment horizontal="center" vertical="center" wrapText="1"/>
    </xf>
    <xf numFmtId="0" fontId="29" fillId="7" borderId="9" xfId="0" applyFont="1" applyFill="1" applyBorder="1" applyAlignment="1">
      <alignment horizontal="justify" vertical="center" wrapText="1"/>
    </xf>
    <xf numFmtId="9" fontId="0" fillId="0" borderId="0" xfId="1" applyFont="1"/>
    <xf numFmtId="10" fontId="27" fillId="0" borderId="65" xfId="1" applyNumberFormat="1" applyFont="1" applyBorder="1" applyAlignment="1">
      <alignment horizontal="center" vertical="center" wrapText="1"/>
    </xf>
    <xf numFmtId="4" fontId="27" fillId="0" borderId="31" xfId="0" applyNumberFormat="1" applyFont="1" applyFill="1" applyBorder="1" applyAlignment="1">
      <alignment horizontal="center" vertical="center" wrapText="1"/>
    </xf>
    <xf numFmtId="168" fontId="27" fillId="0" borderId="65" xfId="1" applyNumberFormat="1" applyFont="1" applyBorder="1" applyAlignment="1">
      <alignment horizontal="center" vertical="center" wrapText="1"/>
    </xf>
    <xf numFmtId="168" fontId="27" fillId="0" borderId="62" xfId="1" applyNumberFormat="1" applyFont="1" applyBorder="1" applyAlignment="1">
      <alignment horizontal="center" vertical="center" wrapText="1"/>
    </xf>
    <xf numFmtId="4" fontId="27" fillId="0" borderId="63" xfId="0" applyNumberFormat="1" applyFont="1" applyFill="1" applyBorder="1" applyAlignment="1">
      <alignment horizontal="center" vertical="center" wrapText="1"/>
    </xf>
    <xf numFmtId="4" fontId="27" fillId="4" borderId="34" xfId="0" applyNumberFormat="1" applyFont="1" applyFill="1" applyBorder="1" applyAlignment="1">
      <alignment horizontal="center" vertical="center" wrapText="1"/>
    </xf>
    <xf numFmtId="168" fontId="27" fillId="0" borderId="41" xfId="1" applyNumberFormat="1" applyFont="1" applyBorder="1" applyAlignment="1">
      <alignment horizontal="center" vertical="center" wrapText="1"/>
    </xf>
    <xf numFmtId="168" fontId="24" fillId="6" borderId="22" xfId="1" applyNumberFormat="1" applyFont="1" applyFill="1" applyBorder="1" applyAlignment="1">
      <alignment horizontal="center" vertical="center" wrapText="1"/>
    </xf>
    <xf numFmtId="167" fontId="24" fillId="6" borderId="22" xfId="0" applyNumberFormat="1" applyFont="1" applyFill="1" applyBorder="1" applyAlignment="1">
      <alignment horizontal="center" vertical="center" wrapText="1"/>
    </xf>
    <xf numFmtId="0" fontId="24" fillId="6" borderId="32" xfId="0" applyFont="1" applyFill="1" applyBorder="1" applyAlignment="1">
      <alignment horizontal="justify" vertical="center" wrapText="1"/>
    </xf>
    <xf numFmtId="168" fontId="27" fillId="0" borderId="22" xfId="1" applyNumberFormat="1" applyFont="1" applyBorder="1" applyAlignment="1">
      <alignment horizontal="center" vertical="center" wrapText="1"/>
    </xf>
    <xf numFmtId="167" fontId="27" fillId="0" borderId="32" xfId="0" applyNumberFormat="1" applyFont="1" applyBorder="1" applyAlignment="1">
      <alignment horizontal="center" vertical="center" wrapText="1"/>
    </xf>
    <xf numFmtId="0" fontId="28" fillId="0" borderId="20" xfId="0" applyFont="1" applyBorder="1" applyAlignment="1">
      <alignment horizontal="justify" vertical="center" wrapText="1"/>
    </xf>
    <xf numFmtId="168" fontId="27" fillId="0" borderId="17" xfId="1" applyNumberFormat="1" applyFont="1" applyBorder="1" applyAlignment="1">
      <alignment horizontal="center" vertical="center" wrapText="1"/>
    </xf>
    <xf numFmtId="167" fontId="27" fillId="0" borderId="50" xfId="0" applyNumberFormat="1" applyFont="1" applyBorder="1" applyAlignment="1">
      <alignment horizontal="center" vertical="center" wrapText="1"/>
    </xf>
    <xf numFmtId="0" fontId="28" fillId="0" borderId="16" xfId="0" applyFont="1" applyBorder="1" applyAlignment="1">
      <alignment horizontal="justify" vertical="center" wrapText="1"/>
    </xf>
    <xf numFmtId="9" fontId="30" fillId="8" borderId="22" xfId="1" applyFont="1" applyFill="1" applyBorder="1" applyAlignment="1">
      <alignment horizontal="center" vertical="center" wrapText="1"/>
    </xf>
    <xf numFmtId="3" fontId="30" fillId="8" borderId="22" xfId="0" applyNumberFormat="1" applyFont="1" applyFill="1" applyBorder="1" applyAlignment="1">
      <alignment horizontal="justify" vertical="center" wrapText="1"/>
    </xf>
    <xf numFmtId="0" fontId="30" fillId="8" borderId="32" xfId="0" applyFont="1" applyFill="1" applyBorder="1" applyAlignment="1">
      <alignment horizontal="justify" vertical="center" wrapText="1"/>
    </xf>
    <xf numFmtId="169" fontId="0" fillId="0" borderId="0" xfId="0" applyNumberFormat="1"/>
    <xf numFmtId="167" fontId="27" fillId="4" borderId="32" xfId="0" applyNumberFormat="1" applyFont="1" applyFill="1" applyBorder="1" applyAlignment="1">
      <alignment horizontal="center" vertical="center" wrapText="1"/>
    </xf>
    <xf numFmtId="167" fontId="27" fillId="4" borderId="50" xfId="0" applyNumberFormat="1" applyFont="1" applyFill="1" applyBorder="1" applyAlignment="1">
      <alignment horizontal="center" vertical="center" wrapText="1"/>
    </xf>
    <xf numFmtId="167" fontId="27" fillId="0" borderId="50" xfId="0" applyNumberFormat="1" applyFont="1" applyFill="1" applyBorder="1" applyAlignment="1">
      <alignment horizontal="center" vertical="center" wrapText="1"/>
    </xf>
    <xf numFmtId="0" fontId="29" fillId="7" borderId="41" xfId="0" applyFont="1" applyFill="1" applyBorder="1" applyAlignment="1">
      <alignment horizontal="center" vertical="center" wrapText="1"/>
    </xf>
    <xf numFmtId="9" fontId="24" fillId="6" borderId="22" xfId="1" applyFont="1" applyFill="1" applyBorder="1" applyAlignment="1">
      <alignment horizontal="center" vertical="center" wrapText="1"/>
    </xf>
    <xf numFmtId="9" fontId="27" fillId="0" borderId="22" xfId="1" applyFont="1" applyBorder="1" applyAlignment="1">
      <alignment horizontal="center" vertical="center" wrapText="1"/>
    </xf>
    <xf numFmtId="167" fontId="27" fillId="0" borderId="32" xfId="0" applyNumberFormat="1" applyFont="1" applyFill="1" applyBorder="1" applyAlignment="1">
      <alignment horizontal="center" vertical="center" wrapText="1"/>
    </xf>
    <xf numFmtId="9" fontId="27" fillId="0" borderId="17" xfId="1" applyFont="1" applyBorder="1" applyAlignment="1">
      <alignment horizontal="center" vertical="center" wrapText="1"/>
    </xf>
    <xf numFmtId="0" fontId="0" fillId="4" borderId="0" xfId="0" applyFill="1"/>
    <xf numFmtId="0" fontId="31" fillId="0" borderId="0" xfId="0" applyFont="1"/>
    <xf numFmtId="0" fontId="31" fillId="0" borderId="0" xfId="0" applyFont="1" applyAlignment="1">
      <alignment horizontal="center"/>
    </xf>
    <xf numFmtId="4" fontId="32" fillId="2" borderId="9" xfId="2" applyNumberFormat="1" applyFont="1" applyFill="1" applyBorder="1" applyAlignment="1">
      <alignment horizontal="center"/>
    </xf>
    <xf numFmtId="3" fontId="32" fillId="2" borderId="9" xfId="2" applyNumberFormat="1" applyFont="1" applyFill="1" applyBorder="1" applyAlignment="1">
      <alignment horizontal="center"/>
    </xf>
    <xf numFmtId="0" fontId="32" fillId="2" borderId="40" xfId="0" applyFont="1" applyFill="1" applyBorder="1" applyAlignment="1">
      <alignment horizontal="center"/>
    </xf>
    <xf numFmtId="0" fontId="32" fillId="2" borderId="40" xfId="0" applyFont="1" applyFill="1" applyBorder="1"/>
    <xf numFmtId="0" fontId="32" fillId="2" borderId="39" xfId="0" applyFont="1" applyFill="1" applyBorder="1"/>
    <xf numFmtId="0" fontId="32" fillId="0" borderId="39" xfId="0" applyFont="1" applyBorder="1"/>
    <xf numFmtId="170" fontId="32" fillId="0" borderId="49" xfId="2" applyNumberFormat="1" applyFont="1" applyBorder="1" applyAlignment="1">
      <alignment horizontal="center"/>
    </xf>
    <xf numFmtId="3" fontId="32" fillId="4" borderId="49" xfId="2" applyNumberFormat="1" applyFont="1" applyFill="1" applyBorder="1" applyAlignment="1">
      <alignment horizontal="center"/>
    </xf>
    <xf numFmtId="0" fontId="32" fillId="0" borderId="40" xfId="0" applyFont="1" applyBorder="1"/>
    <xf numFmtId="4" fontId="31" fillId="2" borderId="49" xfId="0" applyNumberFormat="1" applyFont="1" applyFill="1" applyBorder="1" applyAlignment="1">
      <alignment horizontal="center"/>
    </xf>
    <xf numFmtId="3" fontId="31" fillId="2" borderId="49" xfId="0" applyNumberFormat="1" applyFont="1" applyFill="1" applyBorder="1" applyAlignment="1">
      <alignment horizontal="center"/>
    </xf>
    <xf numFmtId="3" fontId="31" fillId="2" borderId="49" xfId="0" applyNumberFormat="1" applyFont="1" applyFill="1" applyBorder="1"/>
    <xf numFmtId="0" fontId="31" fillId="2" borderId="52" xfId="0" applyFont="1" applyFill="1" applyBorder="1" applyAlignment="1">
      <alignment horizontal="center"/>
    </xf>
    <xf numFmtId="0" fontId="31" fillId="2" borderId="52" xfId="0" applyFont="1" applyFill="1" applyBorder="1"/>
    <xf numFmtId="0" fontId="31" fillId="2" borderId="36" xfId="0" applyFont="1" applyFill="1" applyBorder="1"/>
    <xf numFmtId="0" fontId="31" fillId="0" borderId="36" xfId="0" applyFont="1" applyBorder="1"/>
    <xf numFmtId="3" fontId="31" fillId="0" borderId="49" xfId="0" applyNumberFormat="1" applyFont="1" applyBorder="1"/>
    <xf numFmtId="0" fontId="31" fillId="0" borderId="52" xfId="0" applyFont="1" applyBorder="1"/>
    <xf numFmtId="4" fontId="31" fillId="2" borderId="31" xfId="0" applyNumberFormat="1" applyFont="1" applyFill="1" applyBorder="1" applyAlignment="1">
      <alignment horizontal="center"/>
    </xf>
    <xf numFmtId="3" fontId="31" fillId="2" borderId="31" xfId="0" applyNumberFormat="1" applyFont="1" applyFill="1" applyBorder="1" applyAlignment="1">
      <alignment horizontal="center"/>
    </xf>
    <xf numFmtId="3" fontId="31" fillId="2" borderId="31" xfId="0" applyNumberFormat="1" applyFont="1" applyFill="1" applyBorder="1"/>
    <xf numFmtId="0" fontId="31" fillId="2" borderId="8" xfId="0" applyFont="1" applyFill="1" applyBorder="1" applyAlignment="1">
      <alignment horizontal="center"/>
    </xf>
    <xf numFmtId="0" fontId="31" fillId="2" borderId="8" xfId="0" applyFont="1" applyFill="1" applyBorder="1"/>
    <xf numFmtId="0" fontId="31" fillId="2" borderId="18" xfId="0" applyFont="1" applyFill="1" applyBorder="1"/>
    <xf numFmtId="0" fontId="31" fillId="0" borderId="18" xfId="0" applyFont="1" applyBorder="1"/>
    <xf numFmtId="170" fontId="31" fillId="0" borderId="31" xfId="0" applyNumberFormat="1" applyFont="1" applyBorder="1"/>
    <xf numFmtId="3" fontId="31" fillId="0" borderId="31" xfId="0" applyNumberFormat="1" applyFont="1" applyBorder="1"/>
    <xf numFmtId="0" fontId="31" fillId="0" borderId="8" xfId="0" applyFont="1" applyBorder="1"/>
    <xf numFmtId="4" fontId="31" fillId="2" borderId="48" xfId="0" applyNumberFormat="1" applyFont="1" applyFill="1" applyBorder="1" applyAlignment="1">
      <alignment horizontal="center"/>
    </xf>
    <xf numFmtId="3" fontId="31" fillId="2" borderId="48" xfId="0" applyNumberFormat="1" applyFont="1" applyFill="1" applyBorder="1" applyAlignment="1">
      <alignment horizontal="center"/>
    </xf>
    <xf numFmtId="3" fontId="31" fillId="2" borderId="48" xfId="0" applyNumberFormat="1" applyFont="1" applyFill="1" applyBorder="1"/>
    <xf numFmtId="0" fontId="31" fillId="2" borderId="42" xfId="0" applyFont="1" applyFill="1" applyBorder="1" applyAlignment="1">
      <alignment horizontal="center"/>
    </xf>
    <xf numFmtId="0" fontId="31" fillId="2" borderId="42" xfId="0" applyFont="1" applyFill="1" applyBorder="1"/>
    <xf numFmtId="0" fontId="31" fillId="2" borderId="35" xfId="0" applyFont="1" applyFill="1" applyBorder="1"/>
    <xf numFmtId="0" fontId="31" fillId="0" borderId="35" xfId="0" applyFont="1" applyBorder="1"/>
    <xf numFmtId="170" fontId="31" fillId="0" borderId="48" xfId="0" applyNumberFormat="1" applyFont="1" applyBorder="1"/>
    <xf numFmtId="3" fontId="31" fillId="0" borderId="48" xfId="0" applyNumberFormat="1" applyFont="1" applyBorder="1"/>
    <xf numFmtId="0" fontId="31" fillId="0" borderId="42" xfId="0" applyFont="1" applyBorder="1"/>
    <xf numFmtId="3" fontId="32" fillId="2" borderId="9" xfId="0" applyNumberFormat="1" applyFont="1" applyFill="1" applyBorder="1" applyAlignment="1">
      <alignment horizontal="center"/>
    </xf>
    <xf numFmtId="3" fontId="32" fillId="2" borderId="9" xfId="0" applyNumberFormat="1" applyFont="1" applyFill="1" applyBorder="1"/>
    <xf numFmtId="0" fontId="31" fillId="2" borderId="40" xfId="0" applyFont="1" applyFill="1" applyBorder="1" applyAlignment="1">
      <alignment horizontal="center"/>
    </xf>
    <xf numFmtId="0" fontId="31" fillId="2" borderId="40" xfId="0" applyFont="1" applyFill="1" applyBorder="1"/>
    <xf numFmtId="0" fontId="31" fillId="0" borderId="39" xfId="0" applyFont="1" applyBorder="1"/>
    <xf numFmtId="3" fontId="32" fillId="0" borderId="9" xfId="0" applyNumberFormat="1" applyFont="1" applyBorder="1"/>
    <xf numFmtId="0" fontId="31" fillId="0" borderId="40" xfId="0" applyFont="1" applyBorder="1"/>
    <xf numFmtId="0" fontId="32" fillId="0" borderId="0" xfId="0" applyFont="1"/>
    <xf numFmtId="3" fontId="33" fillId="0" borderId="9" xfId="2" applyNumberFormat="1" applyFont="1" applyFill="1" applyBorder="1" applyAlignment="1">
      <alignment horizontal="center" vertical="center"/>
    </xf>
    <xf numFmtId="0" fontId="32" fillId="0" borderId="40" xfId="0" applyFont="1" applyBorder="1" applyAlignment="1">
      <alignment horizontal="center"/>
    </xf>
    <xf numFmtId="0" fontId="32" fillId="0" borderId="9" xfId="0" applyFont="1" applyBorder="1"/>
    <xf numFmtId="170" fontId="33" fillId="0" borderId="9" xfId="2" applyNumberFormat="1" applyFont="1" applyFill="1" applyBorder="1" applyAlignment="1">
      <alignment horizontal="center" vertical="center"/>
    </xf>
    <xf numFmtId="171" fontId="33" fillId="0" borderId="9" xfId="2" applyNumberFormat="1" applyFont="1" applyFill="1" applyBorder="1" applyAlignment="1">
      <alignment horizontal="center" vertical="center"/>
    </xf>
    <xf numFmtId="3" fontId="34" fillId="0" borderId="66" xfId="2" applyNumberFormat="1" applyFont="1" applyFill="1" applyBorder="1" applyAlignment="1">
      <alignment horizontal="center" vertical="center"/>
    </xf>
    <xf numFmtId="0" fontId="31" fillId="0" borderId="52" xfId="0" applyFont="1" applyBorder="1" applyAlignment="1">
      <alignment horizontal="center"/>
    </xf>
    <xf numFmtId="3" fontId="34" fillId="0" borderId="31" xfId="2" applyNumberFormat="1" applyFont="1" applyFill="1" applyBorder="1" applyAlignment="1">
      <alignment horizontal="center" vertical="center"/>
    </xf>
    <xf numFmtId="0" fontId="31" fillId="0" borderId="8" xfId="0" applyFont="1" applyBorder="1" applyAlignment="1">
      <alignment horizontal="center"/>
    </xf>
    <xf numFmtId="170" fontId="34" fillId="0" borderId="31" xfId="2" applyNumberFormat="1" applyFont="1" applyFill="1" applyBorder="1" applyAlignment="1">
      <alignment horizontal="center" vertical="center"/>
    </xf>
    <xf numFmtId="171" fontId="34" fillId="0" borderId="31" xfId="2" applyNumberFormat="1" applyFont="1" applyFill="1" applyBorder="1" applyAlignment="1">
      <alignment horizontal="center" vertical="center"/>
    </xf>
    <xf numFmtId="3" fontId="34" fillId="0" borderId="48" xfId="2" applyNumberFormat="1" applyFont="1" applyFill="1" applyBorder="1" applyAlignment="1">
      <alignment horizontal="center" vertical="center"/>
    </xf>
    <xf numFmtId="0" fontId="31" fillId="0" borderId="42" xfId="0" applyFont="1" applyBorder="1" applyAlignment="1">
      <alignment horizontal="center"/>
    </xf>
    <xf numFmtId="170" fontId="34" fillId="0" borderId="48" xfId="2" applyNumberFormat="1" applyFont="1" applyFill="1" applyBorder="1" applyAlignment="1">
      <alignment horizontal="center" vertical="center"/>
    </xf>
    <xf numFmtId="3" fontId="32" fillId="0" borderId="9" xfId="0" applyNumberFormat="1" applyFont="1" applyBorder="1" applyAlignment="1">
      <alignment horizontal="center"/>
    </xf>
    <xf numFmtId="0" fontId="31" fillId="0" borderId="40" xfId="0" applyFont="1" applyBorder="1" applyAlignment="1">
      <alignment horizontal="center"/>
    </xf>
    <xf numFmtId="0" fontId="31" fillId="0" borderId="50" xfId="0" applyFont="1" applyBorder="1"/>
    <xf numFmtId="171" fontId="31" fillId="0" borderId="0" xfId="0" applyNumberFormat="1" applyFont="1" applyAlignment="1">
      <alignment horizontal="center"/>
    </xf>
    <xf numFmtId="171" fontId="31" fillId="0" borderId="0" xfId="0" applyNumberFormat="1" applyFont="1"/>
    <xf numFmtId="3" fontId="32" fillId="0" borderId="9" xfId="2" applyNumberFormat="1" applyFont="1" applyFill="1" applyBorder="1" applyAlignment="1">
      <alignment horizontal="center"/>
    </xf>
    <xf numFmtId="3" fontId="32" fillId="0" borderId="46" xfId="2" applyNumberFormat="1" applyFont="1" applyFill="1" applyBorder="1" applyAlignment="1">
      <alignment horizontal="center"/>
    </xf>
    <xf numFmtId="3" fontId="32" fillId="0" borderId="38" xfId="2" applyNumberFormat="1" applyFont="1" applyFill="1" applyBorder="1" applyAlignment="1">
      <alignment horizontal="center"/>
    </xf>
    <xf numFmtId="0" fontId="32" fillId="0" borderId="39" xfId="0" applyFont="1" applyFill="1" applyBorder="1" applyAlignment="1">
      <alignment horizontal="center" vertical="center" wrapText="1"/>
    </xf>
    <xf numFmtId="170" fontId="32" fillId="0" borderId="49" xfId="2" applyNumberFormat="1" applyFont="1" applyFill="1" applyBorder="1" applyAlignment="1">
      <alignment horizontal="center"/>
    </xf>
    <xf numFmtId="170" fontId="32" fillId="0" borderId="28" xfId="2" applyNumberFormat="1" applyFont="1" applyFill="1" applyBorder="1" applyAlignment="1">
      <alignment horizontal="center"/>
    </xf>
    <xf numFmtId="170" fontId="32" fillId="0" borderId="24" xfId="2" applyNumberFormat="1" applyFont="1" applyFill="1" applyBorder="1" applyAlignment="1">
      <alignment horizontal="center"/>
    </xf>
    <xf numFmtId="0" fontId="32" fillId="0" borderId="36" xfId="0" applyFont="1" applyFill="1" applyBorder="1" applyAlignment="1">
      <alignment horizontal="center" vertical="center" wrapText="1"/>
    </xf>
    <xf numFmtId="9" fontId="31" fillId="0" borderId="0" xfId="1" applyFont="1"/>
    <xf numFmtId="171" fontId="32" fillId="0" borderId="31" xfId="2" applyNumberFormat="1" applyFont="1" applyFill="1" applyBorder="1" applyAlignment="1">
      <alignment horizontal="center"/>
    </xf>
    <xf numFmtId="171" fontId="32" fillId="0" borderId="29" xfId="2" applyNumberFormat="1" applyFont="1" applyFill="1" applyBorder="1" applyAlignment="1">
      <alignment horizontal="center"/>
    </xf>
    <xf numFmtId="171" fontId="32" fillId="0" borderId="1" xfId="2" applyNumberFormat="1" applyFont="1" applyFill="1" applyBorder="1" applyAlignment="1">
      <alignment horizontal="center"/>
    </xf>
    <xf numFmtId="0" fontId="32" fillId="0" borderId="18" xfId="0" applyFont="1" applyFill="1" applyBorder="1" applyAlignment="1">
      <alignment horizontal="center" vertical="center" wrapText="1"/>
    </xf>
    <xf numFmtId="3" fontId="32" fillId="0" borderId="66" xfId="2" applyNumberFormat="1" applyFont="1" applyFill="1" applyBorder="1" applyAlignment="1">
      <alignment horizontal="center" vertical="center"/>
    </xf>
    <xf numFmtId="3" fontId="31" fillId="0" borderId="4" xfId="2" applyNumberFormat="1" applyFont="1" applyFill="1" applyBorder="1" applyAlignment="1">
      <alignment horizontal="center"/>
    </xf>
    <xf numFmtId="3" fontId="31" fillId="0" borderId="56" xfId="2" applyNumberFormat="1" applyFont="1" applyFill="1" applyBorder="1" applyAlignment="1">
      <alignment horizontal="center"/>
    </xf>
    <xf numFmtId="0" fontId="31" fillId="0" borderId="56" xfId="0" applyFont="1" applyFill="1" applyBorder="1" applyAlignment="1">
      <alignment horizontal="left" vertical="center" wrapText="1"/>
    </xf>
    <xf numFmtId="171" fontId="32" fillId="0" borderId="31" xfId="2" applyNumberFormat="1" applyFont="1" applyFill="1" applyBorder="1" applyAlignment="1">
      <alignment horizontal="center" vertical="center"/>
    </xf>
    <xf numFmtId="0" fontId="31" fillId="0" borderId="1" xfId="0" applyFont="1" applyFill="1" applyBorder="1" applyAlignment="1">
      <alignment horizontal="left" vertical="center" wrapText="1"/>
    </xf>
    <xf numFmtId="0" fontId="32" fillId="0" borderId="1" xfId="0" applyFont="1" applyFill="1" applyBorder="1" applyAlignment="1">
      <alignment horizontal="center" vertical="center" wrapText="1"/>
    </xf>
    <xf numFmtId="0" fontId="32" fillId="0" borderId="14" xfId="0" applyFont="1" applyFill="1" applyBorder="1" applyAlignment="1">
      <alignment horizontal="center" vertical="center" wrapText="1"/>
    </xf>
    <xf numFmtId="3" fontId="32" fillId="0" borderId="31" xfId="2" applyNumberFormat="1" applyFont="1" applyFill="1" applyBorder="1" applyAlignment="1">
      <alignment horizontal="center" vertical="center"/>
    </xf>
    <xf numFmtId="3" fontId="31" fillId="0" borderId="29" xfId="2" applyNumberFormat="1" applyFont="1" applyFill="1" applyBorder="1" applyAlignment="1">
      <alignment horizontal="center"/>
    </xf>
    <xf numFmtId="3" fontId="31" fillId="0" borderId="1" xfId="2" applyNumberFormat="1" applyFont="1" applyFill="1" applyBorder="1" applyAlignment="1">
      <alignment horizontal="center"/>
    </xf>
    <xf numFmtId="3" fontId="31" fillId="0" borderId="31" xfId="2" applyNumberFormat="1" applyFont="1" applyFill="1" applyBorder="1" applyAlignment="1">
      <alignment horizontal="center" vertical="center"/>
    </xf>
    <xf numFmtId="0" fontId="31" fillId="0" borderId="1" xfId="0" applyFont="1" applyFill="1" applyBorder="1" applyAlignment="1">
      <alignment horizontal="left" vertical="center" wrapText="1" indent="5"/>
    </xf>
    <xf numFmtId="171" fontId="31" fillId="0" borderId="31" xfId="2" applyNumberFormat="1" applyFont="1" applyFill="1" applyBorder="1" applyAlignment="1">
      <alignment horizontal="center" vertical="center"/>
    </xf>
    <xf numFmtId="0" fontId="31" fillId="0" borderId="1" xfId="0" quotePrefix="1" applyFont="1" applyFill="1" applyBorder="1" applyAlignment="1">
      <alignment horizontal="left" vertical="center" wrapText="1" indent="7"/>
    </xf>
    <xf numFmtId="3" fontId="32" fillId="0" borderId="31" xfId="2" applyNumberFormat="1" applyFont="1" applyFill="1" applyBorder="1" applyAlignment="1">
      <alignment horizontal="center"/>
    </xf>
    <xf numFmtId="3" fontId="32" fillId="0" borderId="63" xfId="2" applyNumberFormat="1" applyFont="1" applyFill="1" applyBorder="1" applyAlignment="1">
      <alignment horizontal="center" vertical="center"/>
    </xf>
    <xf numFmtId="3" fontId="31" fillId="0" borderId="2" xfId="2" applyNumberFormat="1" applyFont="1" applyFill="1" applyBorder="1" applyAlignment="1">
      <alignment horizontal="center"/>
    </xf>
    <xf numFmtId="3" fontId="31" fillId="0" borderId="60" xfId="2" applyNumberFormat="1" applyFont="1" applyFill="1" applyBorder="1" applyAlignment="1">
      <alignment horizontal="center"/>
    </xf>
    <xf numFmtId="0" fontId="31" fillId="0" borderId="60" xfId="0" applyFont="1" applyFill="1" applyBorder="1" applyAlignment="1">
      <alignment horizontal="left" vertical="center" wrapText="1"/>
    </xf>
    <xf numFmtId="171" fontId="32" fillId="0" borderId="63" xfId="2" applyNumberFormat="1" applyFont="1" applyFill="1" applyBorder="1" applyAlignment="1">
      <alignment horizontal="center" vertical="center"/>
    </xf>
    <xf numFmtId="0" fontId="32" fillId="0" borderId="28" xfId="0" applyFont="1" applyFill="1" applyBorder="1" applyAlignment="1">
      <alignment horizontal="center"/>
    </xf>
    <xf numFmtId="0" fontId="32" fillId="0" borderId="24" xfId="0" applyFont="1" applyFill="1" applyBorder="1" applyAlignment="1">
      <alignment horizontal="center"/>
    </xf>
    <xf numFmtId="0" fontId="31" fillId="4" borderId="0" xfId="0" applyFont="1" applyFill="1" applyAlignment="1">
      <alignment horizontal="center"/>
    </xf>
    <xf numFmtId="0" fontId="31" fillId="4" borderId="0" xfId="0" applyFont="1" applyFill="1"/>
    <xf numFmtId="171" fontId="31" fillId="4" borderId="1" xfId="2" applyNumberFormat="1" applyFont="1" applyFill="1" applyBorder="1" applyAlignment="1">
      <alignment horizontal="center"/>
    </xf>
    <xf numFmtId="171" fontId="31" fillId="4" borderId="29" xfId="2" applyNumberFormat="1" applyFont="1" applyFill="1" applyBorder="1" applyAlignment="1">
      <alignment horizontal="center"/>
    </xf>
    <xf numFmtId="171" fontId="34" fillId="4" borderId="48" xfId="2" applyNumberFormat="1" applyFont="1" applyFill="1" applyBorder="1" applyAlignment="1">
      <alignment horizontal="center" vertical="center"/>
    </xf>
    <xf numFmtId="171" fontId="34" fillId="4" borderId="31" xfId="2" applyNumberFormat="1" applyFont="1" applyFill="1" applyBorder="1" applyAlignment="1">
      <alignment horizontal="center" vertical="center"/>
    </xf>
    <xf numFmtId="171" fontId="31" fillId="3" borderId="60" xfId="2" applyNumberFormat="1" applyFont="1" applyFill="1" applyBorder="1" applyAlignment="1">
      <alignment horizontal="center"/>
    </xf>
    <xf numFmtId="171" fontId="31" fillId="3" borderId="2" xfId="2" applyNumberFormat="1" applyFont="1" applyFill="1" applyBorder="1" applyAlignment="1">
      <alignment horizontal="center"/>
    </xf>
    <xf numFmtId="171" fontId="31" fillId="3" borderId="1" xfId="2" applyNumberFormat="1" applyFont="1" applyFill="1" applyBorder="1" applyAlignment="1">
      <alignment horizontal="center"/>
    </xf>
    <xf numFmtId="171" fontId="31" fillId="3" borderId="29" xfId="2" applyNumberFormat="1" applyFont="1" applyFill="1" applyBorder="1" applyAlignment="1">
      <alignment horizontal="center"/>
    </xf>
    <xf numFmtId="0" fontId="2" fillId="0" borderId="41" xfId="0" applyFont="1" applyBorder="1" applyAlignment="1">
      <alignment vertical="center" wrapText="1"/>
    </xf>
    <xf numFmtId="4" fontId="1" fillId="0" borderId="41" xfId="0" applyNumberFormat="1" applyFont="1" applyBorder="1" applyAlignment="1">
      <alignment vertical="center" wrapText="1"/>
    </xf>
    <xf numFmtId="0" fontId="1" fillId="0" borderId="22" xfId="0" applyFont="1" applyBorder="1" applyAlignment="1">
      <alignment vertical="center" wrapText="1"/>
    </xf>
    <xf numFmtId="0" fontId="32" fillId="0" borderId="57" xfId="0" applyFont="1" applyFill="1" applyBorder="1" applyAlignment="1">
      <alignment horizontal="center" vertical="center" wrapText="1"/>
    </xf>
    <xf numFmtId="0" fontId="32" fillId="0" borderId="56" xfId="0" applyFont="1" applyFill="1" applyBorder="1" applyAlignment="1">
      <alignment horizontal="center" vertical="center" wrapText="1"/>
    </xf>
    <xf numFmtId="4" fontId="27" fillId="0" borderId="50" xfId="0" applyNumberFormat="1" applyFont="1" applyBorder="1" applyAlignment="1">
      <alignment horizontal="center" vertical="center" wrapText="1"/>
    </xf>
    <xf numFmtId="4" fontId="27" fillId="0" borderId="69" xfId="0" applyNumberFormat="1" applyFont="1" applyBorder="1" applyAlignment="1">
      <alignment horizontal="center" vertical="center" wrapText="1"/>
    </xf>
    <xf numFmtId="4" fontId="27" fillId="0" borderId="68" xfId="0" applyNumberFormat="1" applyFont="1" applyBorder="1" applyAlignment="1">
      <alignment horizontal="center" vertical="center" wrapText="1"/>
    </xf>
    <xf numFmtId="168" fontId="28" fillId="0" borderId="17" xfId="1" applyNumberFormat="1" applyFont="1" applyBorder="1" applyAlignment="1">
      <alignment horizontal="center" vertical="center" wrapText="1"/>
    </xf>
    <xf numFmtId="4" fontId="27" fillId="0" borderId="70" xfId="0" applyNumberFormat="1" applyFont="1" applyFill="1" applyBorder="1" applyAlignment="1">
      <alignment horizontal="center" vertical="center" wrapText="1"/>
    </xf>
    <xf numFmtId="0" fontId="27" fillId="0" borderId="16" xfId="0" applyFont="1" applyBorder="1" applyAlignment="1">
      <alignment horizontal="justify" vertical="center" wrapText="1"/>
    </xf>
    <xf numFmtId="0" fontId="35" fillId="2" borderId="9" xfId="0" applyFont="1" applyFill="1" applyBorder="1" applyAlignment="1">
      <alignment horizontal="justify" vertical="center" wrapText="1"/>
    </xf>
    <xf numFmtId="4" fontId="35" fillId="2" borderId="9" xfId="0" applyNumberFormat="1" applyFont="1" applyFill="1" applyBorder="1" applyAlignment="1">
      <alignment horizontal="center" vertical="center" wrapText="1"/>
    </xf>
    <xf numFmtId="168" fontId="35" fillId="2" borderId="41" xfId="1" applyNumberFormat="1" applyFont="1" applyFill="1" applyBorder="1" applyAlignment="1">
      <alignment horizontal="center" vertical="center" wrapText="1"/>
    </xf>
    <xf numFmtId="4" fontId="35" fillId="2" borderId="37" xfId="0" applyNumberFormat="1" applyFont="1" applyFill="1" applyBorder="1" applyAlignment="1">
      <alignment horizontal="center" vertical="center" wrapText="1"/>
    </xf>
    <xf numFmtId="4" fontId="35" fillId="2" borderId="38" xfId="0" applyNumberFormat="1" applyFont="1" applyFill="1" applyBorder="1" applyAlignment="1">
      <alignment horizontal="center" vertical="center" wrapText="1"/>
    </xf>
    <xf numFmtId="4" fontId="35" fillId="2" borderId="34" xfId="0" applyNumberFormat="1" applyFont="1" applyFill="1" applyBorder="1" applyAlignment="1">
      <alignment horizontal="center" vertical="center" wrapText="1"/>
    </xf>
    <xf numFmtId="4" fontId="0" fillId="0" borderId="0" xfId="0" applyNumberFormat="1"/>
    <xf numFmtId="170" fontId="31" fillId="4" borderId="49" xfId="0" applyNumberFormat="1" applyFont="1" applyFill="1" applyBorder="1"/>
    <xf numFmtId="167" fontId="27" fillId="0" borderId="63" xfId="0" applyNumberFormat="1" applyFont="1" applyBorder="1" applyAlignment="1">
      <alignment horizontal="center" vertical="center" wrapText="1"/>
    </xf>
    <xf numFmtId="167" fontId="27" fillId="0" borderId="9" xfId="0" applyNumberFormat="1" applyFont="1" applyBorder="1" applyAlignment="1">
      <alignment horizontal="center" vertical="center" wrapText="1"/>
    </xf>
    <xf numFmtId="167" fontId="27" fillId="0" borderId="31" xfId="0" applyNumberFormat="1" applyFont="1" applyBorder="1" applyAlignment="1">
      <alignment horizontal="center" vertical="center" wrapText="1"/>
    </xf>
    <xf numFmtId="167" fontId="35" fillId="2" borderId="9" xfId="0" applyNumberFormat="1" applyFont="1" applyFill="1" applyBorder="1" applyAlignment="1">
      <alignment horizontal="center" vertical="center" wrapText="1"/>
    </xf>
    <xf numFmtId="167" fontId="24" fillId="6" borderId="9" xfId="0" applyNumberFormat="1" applyFont="1" applyFill="1" applyBorder="1" applyAlignment="1">
      <alignment horizontal="center" vertical="center" wrapText="1"/>
    </xf>
    <xf numFmtId="167" fontId="27" fillId="0" borderId="37" xfId="0" applyNumberFormat="1" applyFont="1" applyBorder="1" applyAlignment="1">
      <alignment horizontal="center" vertical="center" wrapText="1"/>
    </xf>
    <xf numFmtId="167" fontId="27" fillId="0" borderId="38" xfId="0" applyNumberFormat="1" applyFont="1" applyBorder="1" applyAlignment="1">
      <alignment horizontal="center" vertical="center" wrapText="1"/>
    </xf>
    <xf numFmtId="167" fontId="27" fillId="0" borderId="34" xfId="0" applyNumberFormat="1" applyFont="1" applyBorder="1" applyAlignment="1">
      <alignment horizontal="center" vertical="center" wrapText="1"/>
    </xf>
    <xf numFmtId="167" fontId="27" fillId="0" borderId="34" xfId="0" applyNumberFormat="1" applyFont="1" applyFill="1" applyBorder="1" applyAlignment="1">
      <alignment horizontal="center" vertical="center" wrapText="1"/>
    </xf>
    <xf numFmtId="167" fontId="27" fillId="0" borderId="69" xfId="0" applyNumberFormat="1" applyFont="1" applyBorder="1" applyAlignment="1">
      <alignment horizontal="center" vertical="center" wrapText="1"/>
    </xf>
    <xf numFmtId="167" fontId="27" fillId="0" borderId="70" xfId="0" applyNumberFormat="1" applyFont="1" applyFill="1" applyBorder="1" applyAlignment="1">
      <alignment horizontal="center" vertical="center" wrapText="1"/>
    </xf>
    <xf numFmtId="167" fontId="27" fillId="0" borderId="61" xfId="0" applyNumberFormat="1" applyFont="1" applyFill="1" applyBorder="1" applyAlignment="1">
      <alignment horizontal="center" vertical="center" wrapText="1"/>
    </xf>
    <xf numFmtId="167" fontId="27" fillId="0" borderId="60" xfId="0" applyNumberFormat="1" applyFont="1" applyFill="1" applyBorder="1" applyAlignment="1">
      <alignment horizontal="center" vertical="center" wrapText="1"/>
    </xf>
    <xf numFmtId="167" fontId="27" fillId="0" borderId="59" xfId="0" applyNumberFormat="1" applyFont="1" applyFill="1" applyBorder="1" applyAlignment="1">
      <alignment horizontal="center" vertical="center" wrapText="1"/>
    </xf>
    <xf numFmtId="167" fontId="27" fillId="0" borderId="14" xfId="0" applyNumberFormat="1" applyFont="1" applyFill="1" applyBorder="1" applyAlignment="1">
      <alignment horizontal="center" vertical="center" wrapText="1"/>
    </xf>
    <xf numFmtId="167" fontId="27" fillId="0" borderId="1" xfId="0" applyNumberFormat="1" applyFont="1" applyFill="1" applyBorder="1" applyAlignment="1">
      <alignment horizontal="center" vertical="center" wrapText="1"/>
    </xf>
    <xf numFmtId="167" fontId="27" fillId="0" borderId="15" xfId="0" applyNumberFormat="1" applyFont="1" applyFill="1" applyBorder="1" applyAlignment="1">
      <alignment horizontal="center" vertical="center" wrapText="1"/>
    </xf>
    <xf numFmtId="167" fontId="27" fillId="0" borderId="57" xfId="0" applyNumberFormat="1" applyFont="1" applyFill="1" applyBorder="1" applyAlignment="1">
      <alignment horizontal="center" vertical="center" wrapText="1"/>
    </xf>
    <xf numFmtId="167" fontId="27" fillId="0" borderId="56" xfId="0" applyNumberFormat="1" applyFont="1" applyFill="1" applyBorder="1" applyAlignment="1">
      <alignment horizontal="center" vertical="center" wrapText="1"/>
    </xf>
    <xf numFmtId="167" fontId="35" fillId="2" borderId="37" xfId="0" applyNumberFormat="1" applyFont="1" applyFill="1" applyBorder="1" applyAlignment="1">
      <alignment horizontal="center" vertical="center" wrapText="1"/>
    </xf>
    <xf numFmtId="167" fontId="35" fillId="2" borderId="38" xfId="0" applyNumberFormat="1" applyFont="1" applyFill="1" applyBorder="1" applyAlignment="1">
      <alignment horizontal="center" vertical="center" wrapText="1"/>
    </xf>
    <xf numFmtId="167" fontId="35" fillId="2" borderId="34" xfId="0" applyNumberFormat="1" applyFont="1" applyFill="1" applyBorder="1" applyAlignment="1">
      <alignment horizontal="center" vertical="center" wrapText="1"/>
    </xf>
    <xf numFmtId="167" fontId="24" fillId="6" borderId="37" xfId="0" applyNumberFormat="1" applyFont="1" applyFill="1" applyBorder="1" applyAlignment="1">
      <alignment horizontal="center" vertical="center" wrapText="1"/>
    </xf>
    <xf numFmtId="167" fontId="24" fillId="6" borderId="38" xfId="0" applyNumberFormat="1" applyFont="1" applyFill="1" applyBorder="1" applyAlignment="1">
      <alignment horizontal="center" vertical="center" wrapText="1"/>
    </xf>
    <xf numFmtId="167" fontId="24" fillId="6" borderId="34" xfId="0" applyNumberFormat="1" applyFont="1" applyFill="1" applyBorder="1" applyAlignment="1">
      <alignment horizontal="center" vertical="center" wrapText="1"/>
    </xf>
    <xf numFmtId="0" fontId="24" fillId="2" borderId="9" xfId="0" applyFont="1" applyFill="1" applyBorder="1" applyAlignment="1">
      <alignment horizontal="justify" vertical="center" wrapText="1"/>
    </xf>
    <xf numFmtId="167" fontId="24" fillId="2" borderId="9" xfId="0" applyNumberFormat="1" applyFont="1" applyFill="1" applyBorder="1" applyAlignment="1">
      <alignment horizontal="center" vertical="center" wrapText="1"/>
    </xf>
    <xf numFmtId="168" fontId="24" fillId="2" borderId="41" xfId="1" applyNumberFormat="1" applyFont="1" applyFill="1" applyBorder="1" applyAlignment="1">
      <alignment horizontal="center" vertical="center" wrapText="1"/>
    </xf>
    <xf numFmtId="167" fontId="24" fillId="2" borderId="37" xfId="0" applyNumberFormat="1" applyFont="1" applyFill="1" applyBorder="1" applyAlignment="1">
      <alignment horizontal="center" vertical="center" wrapText="1"/>
    </xf>
    <xf numFmtId="167" fontId="24" fillId="2" borderId="38" xfId="0" applyNumberFormat="1" applyFont="1" applyFill="1" applyBorder="1" applyAlignment="1">
      <alignment horizontal="center" vertical="center" wrapText="1"/>
    </xf>
    <xf numFmtId="167" fontId="24" fillId="2" borderId="34" xfId="0" applyNumberFormat="1" applyFont="1" applyFill="1" applyBorder="1" applyAlignment="1">
      <alignment horizontal="center" vertical="center" wrapText="1"/>
    </xf>
    <xf numFmtId="167" fontId="27" fillId="0" borderId="68" xfId="0" applyNumberFormat="1" applyFont="1" applyBorder="1" applyAlignment="1">
      <alignment horizontal="center" vertical="center" wrapText="1"/>
    </xf>
    <xf numFmtId="0" fontId="1" fillId="9" borderId="0" xfId="0" applyFont="1" applyFill="1"/>
    <xf numFmtId="0" fontId="9" fillId="9" borderId="0" xfId="0" applyFont="1" applyFill="1"/>
    <xf numFmtId="0" fontId="7" fillId="9" borderId="0" xfId="0" applyFont="1" applyFill="1"/>
    <xf numFmtId="0" fontId="6" fillId="9" borderId="0" xfId="0" applyFont="1" applyFill="1"/>
    <xf numFmtId="0" fontId="0" fillId="9" borderId="0" xfId="0" applyFill="1"/>
    <xf numFmtId="0" fontId="0" fillId="9" borderId="0" xfId="0" applyFont="1" applyFill="1"/>
    <xf numFmtId="0" fontId="0" fillId="9" borderId="0" xfId="0" applyFont="1" applyFill="1" applyBorder="1"/>
    <xf numFmtId="0" fontId="2" fillId="9" borderId="0" xfId="0" applyFont="1" applyFill="1" applyBorder="1" applyAlignment="1">
      <alignment horizontal="center" vertical="center"/>
    </xf>
    <xf numFmtId="0" fontId="10" fillId="9" borderId="0" xfId="0" applyFont="1" applyFill="1" applyBorder="1" applyAlignment="1">
      <alignment horizontal="center" vertical="center"/>
    </xf>
    <xf numFmtId="0" fontId="1" fillId="9" borderId="0" xfId="0" applyFont="1" applyFill="1" applyBorder="1" applyAlignment="1">
      <alignment horizontal="center" vertical="center" wrapText="1"/>
    </xf>
    <xf numFmtId="0" fontId="9" fillId="9" borderId="0" xfId="0" applyFont="1" applyFill="1" applyBorder="1" applyAlignment="1">
      <alignment horizontal="center" vertical="center" wrapText="1"/>
    </xf>
    <xf numFmtId="3" fontId="11" fillId="9" borderId="1" xfId="0" applyNumberFormat="1" applyFont="1" applyFill="1" applyBorder="1" applyAlignment="1">
      <alignment horizontal="center" vertical="center" wrapText="1"/>
    </xf>
    <xf numFmtId="10" fontId="11" fillId="9" borderId="1" xfId="1" applyNumberFormat="1" applyFont="1" applyFill="1" applyBorder="1" applyAlignment="1">
      <alignment horizontal="center" vertical="center" wrapText="1"/>
    </xf>
    <xf numFmtId="4" fontId="7" fillId="9" borderId="1" xfId="0" applyNumberFormat="1" applyFont="1" applyFill="1" applyBorder="1" applyAlignment="1">
      <alignment horizontal="center" vertical="center"/>
    </xf>
    <xf numFmtId="4" fontId="7" fillId="9" borderId="0" xfId="0" applyNumberFormat="1" applyFont="1" applyFill="1"/>
    <xf numFmtId="0" fontId="2" fillId="9" borderId="0" xfId="0" applyFont="1" applyFill="1" applyBorder="1" applyAlignment="1">
      <alignment horizontal="center" vertical="center" wrapText="1"/>
    </xf>
    <xf numFmtId="0" fontId="10" fillId="9" borderId="0" xfId="0" applyFont="1" applyFill="1" applyBorder="1" applyAlignment="1">
      <alignment horizontal="center" vertical="center" wrapText="1"/>
    </xf>
    <xf numFmtId="3" fontId="13" fillId="9" borderId="1" xfId="0" applyNumberFormat="1" applyFont="1" applyFill="1" applyBorder="1" applyAlignment="1">
      <alignment horizontal="center" vertical="center" wrapText="1"/>
    </xf>
    <xf numFmtId="10" fontId="13" fillId="9" borderId="1" xfId="1" applyNumberFormat="1" applyFont="1" applyFill="1" applyBorder="1" applyAlignment="1">
      <alignment horizontal="center" vertical="center" wrapText="1"/>
    </xf>
    <xf numFmtId="4" fontId="6" fillId="9" borderId="1" xfId="0" applyNumberFormat="1" applyFont="1" applyFill="1" applyBorder="1" applyAlignment="1">
      <alignment horizontal="center" vertical="center"/>
    </xf>
    <xf numFmtId="0" fontId="12" fillId="9" borderId="0" xfId="0" applyFont="1" applyFill="1"/>
    <xf numFmtId="4" fontId="0" fillId="9" borderId="0" xfId="0" applyNumberFormat="1" applyFill="1"/>
    <xf numFmtId="4" fontId="18" fillId="9" borderId="39" xfId="0" applyNumberFormat="1" applyFont="1" applyFill="1" applyBorder="1"/>
    <xf numFmtId="0" fontId="14" fillId="9" borderId="0" xfId="0" applyFont="1" applyFill="1"/>
    <xf numFmtId="0" fontId="15" fillId="9" borderId="0" xfId="0" applyFont="1" applyFill="1"/>
    <xf numFmtId="0" fontId="5" fillId="9" borderId="0" xfId="0" applyFont="1" applyFill="1" applyBorder="1" applyAlignment="1">
      <alignment horizontal="center"/>
    </xf>
    <xf numFmtId="0" fontId="8" fillId="9" borderId="0" xfId="0" applyFont="1" applyFill="1" applyBorder="1" applyAlignment="1">
      <alignment horizontal="center"/>
    </xf>
    <xf numFmtId="0" fontId="2" fillId="9" borderId="39" xfId="0" applyFont="1" applyFill="1" applyBorder="1"/>
    <xf numFmtId="14" fontId="2" fillId="9" borderId="41" xfId="0" applyNumberFormat="1" applyFont="1" applyFill="1" applyBorder="1"/>
    <xf numFmtId="4" fontId="38" fillId="9" borderId="39" xfId="0" applyNumberFormat="1" applyFont="1" applyFill="1" applyBorder="1"/>
    <xf numFmtId="0" fontId="3" fillId="9" borderId="39" xfId="0" applyFont="1" applyFill="1" applyBorder="1" applyAlignment="1">
      <alignment horizontal="center" vertical="center"/>
    </xf>
    <xf numFmtId="0" fontId="3" fillId="9" borderId="9" xfId="0" applyFont="1" applyFill="1" applyBorder="1" applyAlignment="1">
      <alignment horizontal="center" vertical="center"/>
    </xf>
    <xf numFmtId="0" fontId="3" fillId="9" borderId="41" xfId="0" applyFont="1" applyFill="1" applyBorder="1" applyAlignment="1">
      <alignment horizontal="center" vertical="center" wrapText="1"/>
    </xf>
    <xf numFmtId="0" fontId="3" fillId="9" borderId="9" xfId="0" applyFont="1" applyFill="1" applyBorder="1" applyAlignment="1">
      <alignment horizontal="center" vertical="center" wrapText="1"/>
    </xf>
    <xf numFmtId="0" fontId="2" fillId="9" borderId="21" xfId="0" applyFont="1" applyFill="1" applyBorder="1" applyAlignment="1">
      <alignment horizontal="center" vertical="center" wrapText="1"/>
    </xf>
    <xf numFmtId="0" fontId="2" fillId="9" borderId="9" xfId="0" applyFont="1" applyFill="1" applyBorder="1" applyAlignment="1">
      <alignment horizontal="center" vertical="center" wrapText="1"/>
    </xf>
    <xf numFmtId="9" fontId="2" fillId="9" borderId="39" xfId="1" applyFont="1" applyFill="1" applyBorder="1" applyAlignment="1">
      <alignment horizontal="center" vertical="center"/>
    </xf>
    <xf numFmtId="9" fontId="2" fillId="9" borderId="9" xfId="1" applyFont="1" applyFill="1" applyBorder="1" applyAlignment="1">
      <alignment horizontal="center" vertical="center"/>
    </xf>
    <xf numFmtId="9" fontId="2" fillId="9" borderId="41" xfId="1" applyFont="1" applyFill="1" applyBorder="1" applyAlignment="1">
      <alignment horizontal="center" vertical="center"/>
    </xf>
    <xf numFmtId="4" fontId="2" fillId="9" borderId="39" xfId="0" applyNumberFormat="1" applyFont="1" applyFill="1" applyBorder="1"/>
    <xf numFmtId="165" fontId="40" fillId="9" borderId="0" xfId="3" applyFont="1" applyFill="1"/>
    <xf numFmtId="4" fontId="15" fillId="9" borderId="0" xfId="0" applyNumberFormat="1" applyFont="1" applyFill="1"/>
    <xf numFmtId="0" fontId="2" fillId="9" borderId="10" xfId="0" applyFont="1" applyFill="1" applyBorder="1" applyAlignment="1">
      <alignment horizontal="left" vertical="center"/>
    </xf>
    <xf numFmtId="14" fontId="1" fillId="9" borderId="48" xfId="0" applyNumberFormat="1" applyFont="1" applyFill="1" applyBorder="1"/>
    <xf numFmtId="14" fontId="1" fillId="9" borderId="32" xfId="0" applyNumberFormat="1" applyFont="1" applyFill="1" applyBorder="1"/>
    <xf numFmtId="4" fontId="41" fillId="9" borderId="39" xfId="0" applyNumberFormat="1" applyFont="1" applyFill="1" applyBorder="1"/>
    <xf numFmtId="4" fontId="0" fillId="9" borderId="0" xfId="0" applyNumberFormat="1" applyFont="1" applyFill="1"/>
    <xf numFmtId="0" fontId="0" fillId="0" borderId="0" xfId="0" applyFont="1"/>
    <xf numFmtId="17" fontId="2" fillId="9" borderId="13" xfId="0" applyNumberFormat="1" applyFont="1" applyFill="1" applyBorder="1" applyAlignment="1">
      <alignment horizontal="center" vertical="center"/>
    </xf>
    <xf numFmtId="0" fontId="2" fillId="9" borderId="72" xfId="0" applyFont="1" applyFill="1" applyBorder="1" applyAlignment="1">
      <alignment horizontal="left" vertical="center"/>
    </xf>
    <xf numFmtId="4" fontId="39" fillId="9" borderId="9" xfId="0" applyNumberFormat="1" applyFont="1" applyFill="1" applyBorder="1"/>
    <xf numFmtId="0" fontId="17" fillId="9" borderId="0" xfId="0" applyFont="1" applyFill="1" applyBorder="1" applyAlignment="1">
      <alignment horizontal="center" vertical="center"/>
    </xf>
    <xf numFmtId="0" fontId="43" fillId="9" borderId="0" xfId="0" applyFont="1" applyFill="1" applyBorder="1" applyAlignment="1">
      <alignment horizontal="center" vertical="center" wrapText="1"/>
    </xf>
    <xf numFmtId="4" fontId="2" fillId="9" borderId="0" xfId="0" applyNumberFormat="1" applyFont="1" applyFill="1" applyBorder="1" applyAlignment="1">
      <alignment horizontal="center" vertical="center"/>
    </xf>
    <xf numFmtId="10" fontId="2" fillId="9" borderId="0" xfId="0" applyNumberFormat="1" applyFont="1" applyFill="1" applyBorder="1" applyAlignment="1">
      <alignment horizontal="center" vertical="center"/>
    </xf>
    <xf numFmtId="17" fontId="2" fillId="9" borderId="0" xfId="0" applyNumberFormat="1" applyFont="1" applyFill="1" applyBorder="1" applyAlignment="1">
      <alignment horizontal="center" vertical="center" wrapText="1"/>
    </xf>
    <xf numFmtId="165" fontId="0" fillId="9" borderId="0" xfId="3" applyFont="1" applyFill="1"/>
    <xf numFmtId="166" fontId="0" fillId="9" borderId="0" xfId="0" applyNumberFormat="1" applyFont="1" applyFill="1"/>
    <xf numFmtId="0" fontId="40" fillId="9" borderId="0" xfId="0" applyFont="1" applyFill="1" applyBorder="1"/>
    <xf numFmtId="0" fontId="2" fillId="10" borderId="14" xfId="0" applyFont="1" applyFill="1" applyBorder="1" applyAlignment="1">
      <alignment horizontal="center" vertical="center"/>
    </xf>
    <xf numFmtId="0" fontId="42" fillId="10" borderId="29" xfId="0" applyFont="1" applyFill="1" applyBorder="1" applyAlignment="1">
      <alignment horizontal="center" vertical="center" wrapText="1"/>
    </xf>
    <xf numFmtId="4" fontId="2" fillId="10" borderId="31" xfId="0" applyNumberFormat="1" applyFont="1" applyFill="1" applyBorder="1" applyAlignment="1">
      <alignment horizontal="center" vertical="center"/>
    </xf>
    <xf numFmtId="4" fontId="2" fillId="10" borderId="1" xfId="0" applyNumberFormat="1" applyFont="1" applyFill="1" applyBorder="1" applyAlignment="1">
      <alignment horizontal="center" vertical="center"/>
    </xf>
    <xf numFmtId="10" fontId="2" fillId="10" borderId="14" xfId="0" applyNumberFormat="1" applyFont="1" applyFill="1" applyBorder="1" applyAlignment="1">
      <alignment horizontal="center" vertical="center"/>
    </xf>
    <xf numFmtId="10" fontId="2" fillId="10" borderId="1" xfId="0" applyNumberFormat="1" applyFont="1" applyFill="1" applyBorder="1" applyAlignment="1">
      <alignment horizontal="center" vertical="center"/>
    </xf>
    <xf numFmtId="10" fontId="2" fillId="10" borderId="15" xfId="0" applyNumberFormat="1" applyFont="1" applyFill="1" applyBorder="1" applyAlignment="1">
      <alignment horizontal="center" vertical="center"/>
    </xf>
    <xf numFmtId="0" fontId="2" fillId="10" borderId="1" xfId="0" applyFont="1" applyFill="1" applyBorder="1" applyAlignment="1">
      <alignment horizontal="center" vertical="center" wrapText="1"/>
    </xf>
    <xf numFmtId="17" fontId="2" fillId="10" borderId="1" xfId="0" applyNumberFormat="1" applyFont="1" applyFill="1" applyBorder="1" applyAlignment="1">
      <alignment horizontal="center" vertical="center" wrapText="1"/>
    </xf>
    <xf numFmtId="0" fontId="3" fillId="10" borderId="15" xfId="0" applyFont="1" applyFill="1" applyBorder="1" applyAlignment="1">
      <alignment horizontal="center" vertical="center" wrapText="1"/>
    </xf>
    <xf numFmtId="0" fontId="2" fillId="10" borderId="31" xfId="0" applyFont="1" applyFill="1" applyBorder="1" applyAlignment="1">
      <alignment horizontal="center" vertical="center"/>
    </xf>
    <xf numFmtId="165" fontId="0" fillId="9" borderId="0" xfId="3" applyFont="1" applyFill="1" applyBorder="1"/>
    <xf numFmtId="4" fontId="0" fillId="2" borderId="0" xfId="0" applyNumberFormat="1" applyFill="1"/>
    <xf numFmtId="0" fontId="1" fillId="2" borderId="31" xfId="0" applyFont="1" applyFill="1" applyBorder="1" applyAlignment="1">
      <alignment horizontal="center" vertical="center"/>
    </xf>
    <xf numFmtId="4" fontId="1" fillId="2" borderId="31" xfId="0" applyNumberFormat="1" applyFont="1" applyFill="1" applyBorder="1" applyAlignment="1">
      <alignment horizontal="center" vertical="center"/>
    </xf>
    <xf numFmtId="4" fontId="1" fillId="2" borderId="30" xfId="0" applyNumberFormat="1" applyFont="1" applyFill="1" applyBorder="1" applyAlignment="1">
      <alignment horizontal="center" vertical="center"/>
    </xf>
    <xf numFmtId="4" fontId="1" fillId="2" borderId="1" xfId="0" applyNumberFormat="1" applyFont="1" applyFill="1" applyBorder="1" applyAlignment="1">
      <alignment horizontal="center" vertical="center"/>
    </xf>
    <xf numFmtId="4" fontId="1" fillId="2" borderId="29" xfId="0" applyNumberFormat="1" applyFont="1" applyFill="1" applyBorder="1" applyAlignment="1">
      <alignment horizontal="center" vertical="center"/>
    </xf>
    <xf numFmtId="4" fontId="1" fillId="2" borderId="15" xfId="0" applyNumberFormat="1" applyFont="1" applyFill="1" applyBorder="1" applyAlignment="1">
      <alignment horizontal="center" vertical="center"/>
    </xf>
    <xf numFmtId="10" fontId="1" fillId="2" borderId="14" xfId="0" applyNumberFormat="1" applyFont="1" applyFill="1" applyBorder="1" applyAlignment="1">
      <alignment horizontal="center" vertical="center"/>
    </xf>
    <xf numFmtId="10" fontId="1" fillId="2" borderId="1" xfId="0" applyNumberFormat="1" applyFont="1" applyFill="1" applyBorder="1" applyAlignment="1">
      <alignment horizontal="center" vertical="center"/>
    </xf>
    <xf numFmtId="10" fontId="1" fillId="2" borderId="15" xfId="0" applyNumberFormat="1" applyFont="1" applyFill="1" applyBorder="1" applyAlignment="1">
      <alignment horizontal="center" vertical="center"/>
    </xf>
    <xf numFmtId="17" fontId="1" fillId="2"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7" fillId="2" borderId="0" xfId="0" applyFont="1" applyFill="1"/>
    <xf numFmtId="3" fontId="11" fillId="2" borderId="1" xfId="0" applyNumberFormat="1" applyFont="1" applyFill="1" applyBorder="1" applyAlignment="1">
      <alignment horizontal="center" vertical="center" wrapText="1"/>
    </xf>
    <xf numFmtId="10" fontId="11" fillId="2" borderId="1" xfId="1" applyNumberFormat="1" applyFont="1" applyFill="1" applyBorder="1" applyAlignment="1">
      <alignment horizontal="center" vertical="center" wrapText="1"/>
    </xf>
    <xf numFmtId="4" fontId="7" fillId="2" borderId="1" xfId="0" applyNumberFormat="1" applyFont="1" applyFill="1" applyBorder="1" applyAlignment="1">
      <alignment horizontal="center" vertical="center"/>
    </xf>
    <xf numFmtId="4" fontId="7" fillId="2" borderId="0" xfId="0" applyNumberFormat="1" applyFont="1" applyFill="1"/>
    <xf numFmtId="0" fontId="0" fillId="2" borderId="0" xfId="0" applyFill="1"/>
    <xf numFmtId="4" fontId="1" fillId="2" borderId="19" xfId="0" applyNumberFormat="1" applyFont="1" applyFill="1" applyBorder="1" applyAlignment="1">
      <alignment horizontal="center" vertical="center"/>
    </xf>
    <xf numFmtId="0" fontId="1" fillId="2" borderId="1" xfId="0" applyFont="1" applyFill="1" applyBorder="1" applyAlignment="1">
      <alignment vertical="center" wrapText="1"/>
    </xf>
    <xf numFmtId="1" fontId="41" fillId="9" borderId="39" xfId="0" applyNumberFormat="1" applyFont="1" applyFill="1" applyBorder="1"/>
    <xf numFmtId="0" fontId="2" fillId="2" borderId="24" xfId="0" applyFont="1" applyFill="1" applyBorder="1" applyAlignment="1">
      <alignment horizontal="center" vertical="center" wrapText="1"/>
    </xf>
    <xf numFmtId="0" fontId="2" fillId="2" borderId="23" xfId="0" applyFont="1" applyFill="1" applyBorder="1" applyAlignment="1">
      <alignment horizontal="center" vertical="center"/>
    </xf>
    <xf numFmtId="0" fontId="2" fillId="2" borderId="26" xfId="0" applyFont="1" applyFill="1" applyBorder="1" applyAlignment="1">
      <alignment horizontal="center" vertical="center" wrapText="1"/>
    </xf>
    <xf numFmtId="0" fontId="1" fillId="2" borderId="33" xfId="0" applyFont="1" applyFill="1" applyBorder="1"/>
    <xf numFmtId="0" fontId="1" fillId="2" borderId="16" xfId="0" applyFont="1" applyFill="1" applyBorder="1"/>
    <xf numFmtId="0" fontId="1" fillId="2" borderId="0" xfId="0" applyFont="1" applyFill="1" applyBorder="1"/>
    <xf numFmtId="0" fontId="1" fillId="2" borderId="17" xfId="0" applyFont="1" applyFill="1" applyBorder="1"/>
    <xf numFmtId="0" fontId="36" fillId="2" borderId="29" xfId="0" applyFont="1" applyFill="1" applyBorder="1" applyAlignment="1">
      <alignment horizontal="center" vertical="center" wrapText="1"/>
    </xf>
    <xf numFmtId="0" fontId="1" fillId="2" borderId="15" xfId="0" applyFont="1" applyFill="1" applyBorder="1" applyAlignment="1">
      <alignment horizontal="center" vertical="center" wrapText="1"/>
    </xf>
    <xf numFmtId="17" fontId="1" fillId="2" borderId="15" xfId="0" applyNumberFormat="1" applyFont="1" applyFill="1" applyBorder="1" applyAlignment="1">
      <alignment horizontal="center" vertical="center" wrapText="1"/>
    </xf>
    <xf numFmtId="0" fontId="2" fillId="2" borderId="14" xfId="0" applyFont="1" applyFill="1" applyBorder="1" applyAlignment="1">
      <alignment horizontal="center" vertical="center"/>
    </xf>
    <xf numFmtId="0" fontId="37" fillId="2" borderId="29" xfId="0" applyFont="1" applyFill="1" applyBorder="1" applyAlignment="1">
      <alignment horizontal="center" vertical="center" wrapText="1"/>
    </xf>
    <xf numFmtId="0" fontId="45" fillId="9" borderId="0" xfId="0" applyFont="1" applyFill="1"/>
    <xf numFmtId="0" fontId="47" fillId="9" borderId="0" xfId="0" applyFont="1" applyFill="1"/>
    <xf numFmtId="0" fontId="45" fillId="0" borderId="0" xfId="0" applyFont="1"/>
    <xf numFmtId="0" fontId="48" fillId="9" borderId="0" xfId="0" applyFont="1" applyFill="1"/>
    <xf numFmtId="0" fontId="49" fillId="9" borderId="0" xfId="0" applyFont="1" applyFill="1"/>
    <xf numFmtId="0" fontId="48" fillId="0" borderId="0" xfId="0" applyFont="1"/>
    <xf numFmtId="9" fontId="1" fillId="9" borderId="41" xfId="0" applyNumberFormat="1" applyFont="1" applyFill="1" applyBorder="1"/>
    <xf numFmtId="4" fontId="1" fillId="4" borderId="31" xfId="0" applyNumberFormat="1" applyFont="1" applyFill="1" applyBorder="1" applyAlignment="1">
      <alignment horizontal="center" vertical="center"/>
    </xf>
    <xf numFmtId="4" fontId="1" fillId="4" borderId="1" xfId="0" applyNumberFormat="1" applyFont="1" applyFill="1" applyBorder="1" applyAlignment="1">
      <alignment horizontal="center" vertical="center"/>
    </xf>
    <xf numFmtId="4" fontId="1" fillId="4" borderId="29" xfId="0" applyNumberFormat="1" applyFont="1" applyFill="1" applyBorder="1" applyAlignment="1">
      <alignment horizontal="center" vertical="center"/>
    </xf>
    <xf numFmtId="0" fontId="44" fillId="2" borderId="1" xfId="0" applyFont="1" applyFill="1" applyBorder="1" applyAlignment="1">
      <alignment horizontal="center" vertical="center" wrapText="1"/>
    </xf>
    <xf numFmtId="4" fontId="2" fillId="2" borderId="31" xfId="0" applyNumberFormat="1" applyFont="1" applyFill="1" applyBorder="1" applyAlignment="1">
      <alignment horizontal="center" vertical="center"/>
    </xf>
    <xf numFmtId="0" fontId="2" fillId="2" borderId="24" xfId="0" applyFont="1" applyFill="1" applyBorder="1" applyAlignment="1">
      <alignment horizontal="center" vertical="center"/>
    </xf>
    <xf numFmtId="0" fontId="2" fillId="9" borderId="54" xfId="0" applyFont="1" applyFill="1" applyBorder="1" applyAlignment="1">
      <alignment horizontal="center" vertical="center"/>
    </xf>
    <xf numFmtId="0" fontId="2" fillId="2" borderId="28" xfId="0" applyFont="1" applyFill="1" applyBorder="1" applyAlignment="1">
      <alignment horizontal="center" vertical="center" wrapText="1"/>
    </xf>
    <xf numFmtId="17" fontId="2" fillId="4" borderId="71" xfId="0" applyNumberFormat="1" applyFont="1" applyFill="1" applyBorder="1" applyAlignment="1">
      <alignment horizontal="center" vertical="center"/>
    </xf>
    <xf numFmtId="0" fontId="2" fillId="4" borderId="14" xfId="0" applyFont="1" applyFill="1" applyBorder="1" applyAlignment="1">
      <alignment horizontal="center" vertical="center"/>
    </xf>
    <xf numFmtId="0" fontId="36" fillId="4" borderId="29" xfId="0" applyFont="1" applyFill="1" applyBorder="1" applyAlignment="1">
      <alignment horizontal="center" vertical="center" wrapText="1"/>
    </xf>
    <xf numFmtId="4" fontId="1" fillId="2" borderId="8" xfId="0" applyNumberFormat="1" applyFont="1" applyFill="1" applyBorder="1" applyAlignment="1">
      <alignment horizontal="center" vertical="center"/>
    </xf>
    <xf numFmtId="4" fontId="2" fillId="10" borderId="8" xfId="0" applyNumberFormat="1" applyFont="1" applyFill="1" applyBorder="1" applyAlignment="1">
      <alignment horizontal="center" vertical="center"/>
    </xf>
    <xf numFmtId="0" fontId="2" fillId="11" borderId="24" xfId="0" applyFont="1" applyFill="1" applyBorder="1" applyAlignment="1">
      <alignment horizontal="center" vertical="center" wrapText="1"/>
    </xf>
    <xf numFmtId="0" fontId="1" fillId="11" borderId="0" xfId="0" applyFont="1" applyFill="1" applyBorder="1"/>
    <xf numFmtId="4" fontId="1" fillId="11" borderId="30" xfId="0" applyNumberFormat="1" applyFont="1" applyFill="1" applyBorder="1" applyAlignment="1">
      <alignment horizontal="center" vertical="center"/>
    </xf>
    <xf numFmtId="4" fontId="1" fillId="11" borderId="1" xfId="0" applyNumberFormat="1" applyFont="1" applyFill="1" applyBorder="1" applyAlignment="1">
      <alignment horizontal="center" vertical="center"/>
    </xf>
    <xf numFmtId="4" fontId="2" fillId="11" borderId="30" xfId="0" applyNumberFormat="1" applyFont="1" applyFill="1" applyBorder="1" applyAlignment="1">
      <alignment horizontal="center" vertical="center"/>
    </xf>
    <xf numFmtId="0" fontId="2" fillId="9" borderId="40" xfId="0" applyFont="1" applyFill="1" applyBorder="1"/>
    <xf numFmtId="0" fontId="2" fillId="9" borderId="39" xfId="0" applyFont="1" applyFill="1" applyBorder="1" applyAlignment="1">
      <alignment horizontal="center" vertical="center" wrapText="1"/>
    </xf>
    <xf numFmtId="4" fontId="2" fillId="10" borderId="29" xfId="0" applyNumberFormat="1" applyFont="1" applyFill="1" applyBorder="1" applyAlignment="1">
      <alignment horizontal="center" vertical="center"/>
    </xf>
    <xf numFmtId="4" fontId="1" fillId="2" borderId="8" xfId="0" applyNumberFormat="1" applyFont="1" applyFill="1" applyBorder="1" applyAlignment="1">
      <alignment horizontal="center" vertical="center" wrapText="1"/>
    </xf>
    <xf numFmtId="4" fontId="1" fillId="4" borderId="8" xfId="0" applyNumberFormat="1" applyFont="1" applyFill="1" applyBorder="1" applyAlignment="1">
      <alignment horizontal="center" vertical="center" wrapText="1"/>
    </xf>
    <xf numFmtId="9" fontId="1" fillId="2" borderId="1" xfId="0" applyNumberFormat="1" applyFont="1" applyFill="1" applyBorder="1" applyAlignment="1">
      <alignment horizontal="center" vertical="center"/>
    </xf>
    <xf numFmtId="0" fontId="1" fillId="2" borderId="0" xfId="0" applyFont="1" applyFill="1"/>
    <xf numFmtId="9" fontId="1" fillId="2" borderId="41" xfId="0" applyNumberFormat="1" applyFont="1" applyFill="1" applyBorder="1"/>
    <xf numFmtId="0" fontId="14" fillId="2" borderId="0" xfId="0" applyFont="1" applyFill="1" applyAlignment="1">
      <alignment vertical="top" wrapText="1"/>
    </xf>
    <xf numFmtId="0" fontId="15" fillId="2" borderId="0" xfId="0" applyFont="1" applyFill="1" applyAlignment="1">
      <alignment vertical="top" wrapText="1"/>
    </xf>
    <xf numFmtId="4" fontId="15" fillId="2" borderId="0" xfId="0" applyNumberFormat="1" applyFont="1" applyFill="1" applyAlignment="1">
      <alignment vertical="top" wrapText="1"/>
    </xf>
    <xf numFmtId="4" fontId="1" fillId="0" borderId="1" xfId="0" applyNumberFormat="1" applyFont="1" applyFill="1" applyBorder="1" applyAlignment="1">
      <alignment horizontal="center" vertical="center" wrapText="1"/>
    </xf>
    <xf numFmtId="0" fontId="1" fillId="2" borderId="1" xfId="0" applyFont="1" applyFill="1" applyBorder="1"/>
    <xf numFmtId="0" fontId="1" fillId="0" borderId="1" xfId="0" applyFont="1" applyFill="1" applyBorder="1"/>
    <xf numFmtId="0" fontId="1" fillId="2" borderId="1" xfId="0" applyFont="1" applyFill="1" applyBorder="1" applyAlignment="1">
      <alignment vertical="top" wrapText="1"/>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36" fillId="2" borderId="1" xfId="0" applyFont="1" applyFill="1" applyBorder="1" applyAlignment="1">
      <alignment horizontal="center" vertical="center" wrapText="1"/>
    </xf>
    <xf numFmtId="4" fontId="1" fillId="0" borderId="1" xfId="0" applyNumberFormat="1" applyFont="1" applyFill="1" applyBorder="1" applyAlignment="1">
      <alignment horizontal="center" vertical="center"/>
    </xf>
    <xf numFmtId="0" fontId="2" fillId="10" borderId="1" xfId="0" applyFont="1" applyFill="1" applyBorder="1" applyAlignment="1">
      <alignment horizontal="center" vertical="center"/>
    </xf>
    <xf numFmtId="0" fontId="42" fillId="10" borderId="1" xfId="0" applyFont="1" applyFill="1" applyBorder="1" applyAlignment="1">
      <alignment horizontal="center" vertical="center" wrapText="1"/>
    </xf>
    <xf numFmtId="0" fontId="3" fillId="10"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36" fillId="2" borderId="1" xfId="0" applyFont="1" applyFill="1" applyBorder="1" applyAlignment="1">
      <alignment horizontal="left" vertical="center" wrapText="1"/>
    </xf>
    <xf numFmtId="0" fontId="36" fillId="0" borderId="1" xfId="0" applyFont="1" applyFill="1" applyBorder="1" applyAlignment="1">
      <alignment horizontal="center" vertical="center" wrapText="1"/>
    </xf>
    <xf numFmtId="0" fontId="2" fillId="2" borderId="1" xfId="0" applyFont="1" applyFill="1" applyBorder="1" applyAlignment="1">
      <alignment horizontal="center" vertical="center"/>
    </xf>
    <xf numFmtId="17" fontId="2" fillId="9" borderId="43" xfId="0" applyNumberFormat="1" applyFont="1" applyFill="1" applyBorder="1" applyAlignment="1">
      <alignment horizontal="center" vertical="center"/>
    </xf>
    <xf numFmtId="1" fontId="1" fillId="2" borderId="1" xfId="0" applyNumberFormat="1" applyFont="1" applyFill="1" applyBorder="1" applyAlignment="1">
      <alignment horizontal="left" vertical="center"/>
    </xf>
    <xf numFmtId="4" fontId="1" fillId="2" borderId="1" xfId="0" applyNumberFormat="1" applyFont="1" applyFill="1" applyBorder="1" applyAlignment="1">
      <alignment horizontal="left" vertical="center"/>
    </xf>
    <xf numFmtId="4" fontId="1" fillId="0" borderId="1" xfId="0" applyNumberFormat="1" applyFont="1" applyFill="1" applyBorder="1" applyAlignment="1">
      <alignment horizontal="left" vertical="center" wrapText="1"/>
    </xf>
    <xf numFmtId="4" fontId="1" fillId="0" borderId="1" xfId="0" applyNumberFormat="1" applyFont="1" applyFill="1" applyBorder="1" applyAlignment="1">
      <alignment horizontal="left" vertical="center"/>
    </xf>
    <xf numFmtId="4" fontId="1" fillId="2" borderId="1" xfId="0" applyNumberFormat="1" applyFont="1" applyFill="1" applyBorder="1" applyAlignment="1">
      <alignment horizontal="left" vertical="center" wrapText="1"/>
    </xf>
    <xf numFmtId="17" fontId="2" fillId="0" borderId="71" xfId="0" applyNumberFormat="1" applyFont="1" applyFill="1" applyBorder="1" applyAlignment="1">
      <alignment horizontal="center" vertical="center"/>
    </xf>
    <xf numFmtId="17" fontId="2" fillId="0" borderId="17" xfId="0" applyNumberFormat="1" applyFont="1" applyFill="1" applyBorder="1" applyAlignment="1">
      <alignment horizontal="center" vertical="center"/>
    </xf>
    <xf numFmtId="0" fontId="45" fillId="0" borderId="0" xfId="0" applyFont="1" applyFill="1"/>
    <xf numFmtId="0" fontId="48" fillId="0" borderId="0" xfId="0" applyFont="1" applyFill="1"/>
    <xf numFmtId="0" fontId="1" fillId="0" borderId="0" xfId="0" applyFont="1" applyFill="1"/>
    <xf numFmtId="0" fontId="14" fillId="0" borderId="0" xfId="0" applyFont="1" applyFill="1" applyAlignment="1">
      <alignment vertical="top" wrapText="1"/>
    </xf>
    <xf numFmtId="0" fontId="14" fillId="0" borderId="0" xfId="0" applyFont="1" applyFill="1"/>
    <xf numFmtId="0" fontId="0" fillId="0" borderId="0" xfId="0" applyFont="1" applyFill="1" applyBorder="1"/>
    <xf numFmtId="0" fontId="0" fillId="0" borderId="0" xfId="0" applyFont="1" applyFill="1" applyBorder="1" applyAlignment="1">
      <alignment vertical="top" wrapText="1"/>
    </xf>
    <xf numFmtId="0" fontId="40" fillId="0" borderId="0" xfId="0" applyFont="1" applyFill="1" applyBorder="1"/>
    <xf numFmtId="0" fontId="2" fillId="0" borderId="0" xfId="0" applyFont="1" applyFill="1" applyBorder="1" applyAlignment="1">
      <alignment horizontal="center" vertical="center"/>
    </xf>
    <xf numFmtId="0" fontId="17" fillId="0" borderId="0" xfId="0" applyFont="1" applyFill="1" applyBorder="1" applyAlignment="1">
      <alignment horizontal="center" vertical="center"/>
    </xf>
    <xf numFmtId="0" fontId="43" fillId="0" borderId="0" xfId="0" applyFont="1" applyFill="1" applyBorder="1" applyAlignment="1">
      <alignment horizontal="center" vertical="center" wrapText="1"/>
    </xf>
    <xf numFmtId="4" fontId="2" fillId="0" borderId="0" xfId="0" applyNumberFormat="1" applyFont="1" applyFill="1" applyBorder="1" applyAlignment="1">
      <alignment horizontal="center" vertical="center"/>
    </xf>
    <xf numFmtId="4" fontId="2" fillId="0" borderId="0" xfId="0" applyNumberFormat="1" applyFont="1" applyFill="1" applyBorder="1" applyAlignment="1">
      <alignment horizontal="center" vertical="top" wrapText="1"/>
    </xf>
    <xf numFmtId="10" fontId="2" fillId="0" borderId="0" xfId="0" applyNumberFormat="1" applyFont="1" applyFill="1" applyBorder="1" applyAlignment="1">
      <alignment horizontal="center" vertical="center"/>
    </xf>
    <xf numFmtId="17" fontId="2"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12" borderId="1" xfId="0" applyFont="1" applyFill="1" applyBorder="1" applyAlignment="1">
      <alignment horizontal="center" vertical="center" wrapText="1"/>
    </xf>
    <xf numFmtId="0" fontId="38" fillId="9" borderId="0" xfId="0" applyFont="1" applyFill="1"/>
    <xf numFmtId="0" fontId="38" fillId="9" borderId="0" xfId="0" applyFont="1" applyFill="1" applyAlignment="1">
      <alignment horizontal="center" wrapText="1"/>
    </xf>
    <xf numFmtId="0" fontId="38" fillId="2" borderId="0" xfId="0" applyFont="1" applyFill="1"/>
    <xf numFmtId="0" fontId="52" fillId="2" borderId="0" xfId="0" applyFont="1" applyFill="1" applyAlignment="1">
      <alignment vertical="top" wrapText="1"/>
    </xf>
    <xf numFmtId="0" fontId="52" fillId="9" borderId="0" xfId="0" applyFont="1" applyFill="1"/>
    <xf numFmtId="0" fontId="38" fillId="0" borderId="0" xfId="0" applyFont="1" applyFill="1"/>
    <xf numFmtId="165" fontId="38" fillId="9" borderId="0" xfId="3" applyFont="1" applyFill="1"/>
    <xf numFmtId="4" fontId="52" fillId="2" borderId="0" xfId="0" applyNumberFormat="1" applyFont="1" applyFill="1" applyAlignment="1">
      <alignment vertical="top" wrapText="1"/>
    </xf>
    <xf numFmtId="4" fontId="38" fillId="2" borderId="0" xfId="0" applyNumberFormat="1" applyFont="1" applyFill="1"/>
    <xf numFmtId="4" fontId="38" fillId="9" borderId="0" xfId="0" applyNumberFormat="1" applyFont="1" applyFill="1"/>
    <xf numFmtId="17" fontId="39" fillId="0" borderId="0" xfId="0" applyNumberFormat="1" applyFont="1" applyFill="1" applyBorder="1" applyAlignment="1">
      <alignment horizontal="center" vertical="center" wrapText="1"/>
    </xf>
    <xf numFmtId="0" fontId="38" fillId="0" borderId="0" xfId="0" applyFont="1" applyFill="1" applyAlignment="1">
      <alignment horizontal="center" wrapText="1"/>
    </xf>
    <xf numFmtId="0" fontId="52" fillId="0" borderId="0" xfId="0" applyFont="1" applyFill="1" applyAlignment="1">
      <alignment vertical="top" wrapText="1"/>
    </xf>
    <xf numFmtId="0" fontId="52" fillId="0" borderId="0" xfId="0" applyFont="1" applyFill="1"/>
    <xf numFmtId="17" fontId="39" fillId="9" borderId="0" xfId="0" applyNumberFormat="1" applyFont="1" applyFill="1" applyBorder="1" applyAlignment="1">
      <alignment horizontal="center" vertical="center" wrapText="1"/>
    </xf>
    <xf numFmtId="14" fontId="38" fillId="9" borderId="0" xfId="0" applyNumberFormat="1" applyFont="1" applyFill="1" applyBorder="1"/>
    <xf numFmtId="17" fontId="39" fillId="9" borderId="1" xfId="0" applyNumberFormat="1" applyFont="1" applyFill="1" applyBorder="1" applyAlignment="1">
      <alignment horizontal="center" vertical="center"/>
    </xf>
    <xf numFmtId="17" fontId="39" fillId="0" borderId="1" xfId="0" applyNumberFormat="1" applyFont="1" applyFill="1" applyBorder="1" applyAlignment="1">
      <alignment horizontal="center" vertical="center"/>
    </xf>
    <xf numFmtId="0" fontId="39" fillId="9" borderId="1" xfId="0" applyFont="1" applyFill="1" applyBorder="1" applyAlignment="1">
      <alignment horizontal="left" vertical="center"/>
    </xf>
    <xf numFmtId="0" fontId="39" fillId="9" borderId="1" xfId="0" applyFont="1" applyFill="1" applyBorder="1"/>
    <xf numFmtId="14" fontId="39" fillId="9" borderId="1" xfId="0" applyNumberFormat="1" applyFont="1" applyFill="1" applyBorder="1"/>
    <xf numFmtId="9" fontId="41" fillId="2" borderId="41" xfId="0" applyNumberFormat="1" applyFont="1" applyFill="1" applyBorder="1"/>
    <xf numFmtId="0" fontId="39" fillId="0" borderId="1" xfId="0" applyFont="1" applyFill="1" applyBorder="1" applyAlignment="1">
      <alignment horizontal="center" vertical="center"/>
    </xf>
    <xf numFmtId="0" fontId="38" fillId="0" borderId="1" xfId="0" applyFont="1" applyFill="1" applyBorder="1" applyAlignment="1">
      <alignment horizontal="center" vertical="center"/>
    </xf>
    <xf numFmtId="0" fontId="38" fillId="0" borderId="1" xfId="0" applyFont="1" applyFill="1" applyBorder="1" applyAlignment="1">
      <alignment horizontal="center" vertical="center" wrapText="1"/>
    </xf>
    <xf numFmtId="0" fontId="38" fillId="18" borderId="1" xfId="0" applyFont="1" applyFill="1" applyBorder="1" applyAlignment="1">
      <alignment horizontal="center" vertical="center"/>
    </xf>
    <xf numFmtId="0" fontId="39" fillId="18" borderId="1" xfId="0" applyFont="1" applyFill="1" applyBorder="1" applyAlignment="1">
      <alignment horizontal="center" vertical="center"/>
    </xf>
    <xf numFmtId="0" fontId="54" fillId="18" borderId="60" xfId="0" applyFont="1" applyFill="1" applyBorder="1" applyAlignment="1">
      <alignment vertical="center" wrapText="1"/>
    </xf>
    <xf numFmtId="4" fontId="38" fillId="18" borderId="1" xfId="0" applyNumberFormat="1" applyFont="1" applyFill="1" applyBorder="1" applyAlignment="1">
      <alignment horizontal="center" vertical="center" wrapText="1"/>
    </xf>
    <xf numFmtId="17" fontId="38" fillId="18" borderId="1" xfId="0" applyNumberFormat="1" applyFont="1" applyFill="1" applyBorder="1" applyAlignment="1">
      <alignment horizontal="center" vertical="center" wrapText="1"/>
    </xf>
    <xf numFmtId="0" fontId="38" fillId="18" borderId="1" xfId="0" applyFont="1" applyFill="1" applyBorder="1" applyAlignment="1">
      <alignment horizontal="center" vertical="center" wrapText="1"/>
    </xf>
    <xf numFmtId="1" fontId="38" fillId="18" borderId="1" xfId="0" applyNumberFormat="1" applyFont="1" applyFill="1" applyBorder="1" applyAlignment="1">
      <alignment horizontal="center" vertical="center" wrapText="1"/>
    </xf>
    <xf numFmtId="0" fontId="54" fillId="18" borderId="1" xfId="0" applyFont="1" applyFill="1" applyBorder="1" applyAlignment="1">
      <alignment vertical="center" wrapText="1"/>
    </xf>
    <xf numFmtId="0" fontId="54" fillId="18" borderId="60" xfId="0" applyFont="1" applyFill="1" applyBorder="1" applyAlignment="1">
      <alignment horizontal="left" vertical="center" wrapText="1"/>
    </xf>
    <xf numFmtId="17" fontId="39" fillId="9" borderId="0" xfId="0" applyNumberFormat="1" applyFont="1" applyFill="1" applyBorder="1" applyAlignment="1">
      <alignment horizontal="center" vertical="center"/>
    </xf>
    <xf numFmtId="17" fontId="39" fillId="0" borderId="0" xfId="0" applyNumberFormat="1" applyFont="1" applyFill="1" applyBorder="1" applyAlignment="1">
      <alignment horizontal="center" vertical="center"/>
    </xf>
    <xf numFmtId="0" fontId="57" fillId="0" borderId="0" xfId="0" applyFont="1" applyAlignment="1">
      <alignment horizontal="center"/>
    </xf>
    <xf numFmtId="0" fontId="58" fillId="0" borderId="0" xfId="0" applyFont="1" applyAlignment="1">
      <alignment horizontal="center"/>
    </xf>
    <xf numFmtId="0" fontId="12" fillId="4" borderId="1" xfId="0" applyFont="1" applyFill="1" applyBorder="1"/>
    <xf numFmtId="0" fontId="0" fillId="0" borderId="1" xfId="0" applyFont="1" applyFill="1" applyBorder="1"/>
    <xf numFmtId="4" fontId="0" fillId="0" borderId="1" xfId="0" applyNumberFormat="1" applyFont="1" applyFill="1" applyBorder="1"/>
    <xf numFmtId="0" fontId="0" fillId="0" borderId="1" xfId="0" applyFont="1" applyFill="1" applyBorder="1" applyAlignment="1">
      <alignment vertical="center" wrapText="1"/>
    </xf>
    <xf numFmtId="0" fontId="0" fillId="0" borderId="1" xfId="0" applyFont="1" applyBorder="1"/>
    <xf numFmtId="4" fontId="0" fillId="0" borderId="1" xfId="0" applyNumberFormat="1" applyFont="1" applyBorder="1"/>
    <xf numFmtId="0" fontId="0" fillId="11" borderId="1" xfId="0" applyFont="1" applyFill="1" applyBorder="1"/>
    <xf numFmtId="4" fontId="0" fillId="11" borderId="1" xfId="0" applyNumberFormat="1" applyFont="1" applyFill="1" applyBorder="1"/>
    <xf numFmtId="172" fontId="0" fillId="0" borderId="1" xfId="0" applyNumberFormat="1" applyFont="1" applyFill="1" applyBorder="1"/>
    <xf numFmtId="172" fontId="0" fillId="11" borderId="1" xfId="0" applyNumberFormat="1" applyFont="1" applyFill="1" applyBorder="1"/>
    <xf numFmtId="44" fontId="0" fillId="0" borderId="1" xfId="0" applyNumberFormat="1" applyFont="1" applyFill="1" applyBorder="1"/>
    <xf numFmtId="44" fontId="0" fillId="11" borderId="1" xfId="0" applyNumberFormat="1" applyFont="1" applyFill="1" applyBorder="1"/>
    <xf numFmtId="0" fontId="12" fillId="0" borderId="0" xfId="0" applyFont="1" applyFill="1" applyBorder="1" applyAlignment="1">
      <alignment vertical="center" wrapText="1"/>
    </xf>
    <xf numFmtId="172" fontId="12" fillId="19" borderId="1" xfId="0" applyNumberFormat="1" applyFont="1" applyFill="1" applyBorder="1"/>
    <xf numFmtId="0" fontId="12" fillId="4" borderId="1" xfId="0" applyFont="1" applyFill="1" applyBorder="1" applyAlignment="1">
      <alignment horizontal="center" vertical="center" wrapText="1"/>
    </xf>
    <xf numFmtId="0" fontId="12" fillId="13" borderId="1" xfId="0" applyFont="1" applyFill="1" applyBorder="1" applyAlignment="1">
      <alignment horizontal="center" vertical="center" wrapText="1"/>
    </xf>
    <xf numFmtId="0" fontId="12" fillId="14" borderId="1" xfId="0" applyFont="1" applyFill="1" applyBorder="1" applyAlignment="1">
      <alignment horizontal="center" vertical="center" wrapText="1"/>
    </xf>
    <xf numFmtId="0" fontId="0" fillId="0" borderId="18" xfId="0" applyFont="1" applyBorder="1" applyAlignment="1"/>
    <xf numFmtId="1" fontId="0" fillId="0" borderId="1" xfId="0" applyNumberFormat="1" applyBorder="1" applyAlignment="1">
      <alignment horizontal="right"/>
    </xf>
    <xf numFmtId="0" fontId="0" fillId="0" borderId="1" xfId="0" applyFont="1" applyBorder="1" applyAlignment="1">
      <alignment wrapText="1"/>
    </xf>
    <xf numFmtId="1" fontId="0" fillId="0" borderId="1" xfId="0" applyNumberFormat="1" applyBorder="1" applyAlignment="1"/>
    <xf numFmtId="0" fontId="0" fillId="0" borderId="20" xfId="0" applyFont="1" applyBorder="1" applyAlignment="1"/>
    <xf numFmtId="0" fontId="0" fillId="0" borderId="21" xfId="0" applyFont="1" applyBorder="1" applyAlignment="1"/>
    <xf numFmtId="1" fontId="0" fillId="0" borderId="21" xfId="0" applyNumberFormat="1" applyBorder="1" applyAlignment="1"/>
    <xf numFmtId="0" fontId="0" fillId="0" borderId="1" xfId="0" applyFont="1" applyBorder="1" applyAlignment="1">
      <alignment vertical="top" wrapText="1"/>
    </xf>
    <xf numFmtId="14" fontId="40" fillId="0" borderId="0" xfId="0" applyNumberFormat="1" applyFont="1" applyAlignment="1">
      <alignment horizontal="left"/>
    </xf>
    <xf numFmtId="0" fontId="39" fillId="9" borderId="0" xfId="0" applyFont="1" applyFill="1" applyBorder="1"/>
    <xf numFmtId="14" fontId="39" fillId="9" borderId="0" xfId="0" applyNumberFormat="1" applyFont="1" applyFill="1" applyBorder="1"/>
    <xf numFmtId="0" fontId="53" fillId="9" borderId="0" xfId="0" applyFont="1" applyFill="1" applyBorder="1" applyAlignment="1">
      <alignment wrapText="1"/>
    </xf>
    <xf numFmtId="0" fontId="53" fillId="9" borderId="0" xfId="0" applyFont="1" applyFill="1" applyBorder="1" applyAlignment="1"/>
    <xf numFmtId="0" fontId="38" fillId="9" borderId="1" xfId="0" applyFont="1" applyFill="1" applyBorder="1"/>
    <xf numFmtId="4" fontId="38" fillId="0" borderId="0" xfId="0" applyNumberFormat="1" applyFont="1" applyFill="1"/>
    <xf numFmtId="0" fontId="38" fillId="0" borderId="0" xfId="0" applyFont="1" applyFill="1" applyAlignment="1">
      <alignment vertical="center"/>
    </xf>
    <xf numFmtId="172" fontId="38" fillId="18" borderId="1" xfId="0" applyNumberFormat="1" applyFont="1" applyFill="1" applyBorder="1" applyAlignment="1">
      <alignment horizontal="center" vertical="center"/>
    </xf>
    <xf numFmtId="172" fontId="38" fillId="18" borderId="60" xfId="0" applyNumberFormat="1" applyFont="1" applyFill="1" applyBorder="1" applyAlignment="1">
      <alignment horizontal="center" vertical="center"/>
    </xf>
    <xf numFmtId="173" fontId="38" fillId="18" borderId="1" xfId="0" applyNumberFormat="1" applyFont="1" applyFill="1" applyBorder="1" applyAlignment="1">
      <alignment horizontal="center" vertical="center"/>
    </xf>
    <xf numFmtId="0" fontId="12" fillId="0" borderId="11" xfId="0" applyFont="1" applyBorder="1" applyAlignment="1">
      <alignment horizontal="center" wrapText="1"/>
    </xf>
    <xf numFmtId="0" fontId="12" fillId="0" borderId="13" xfId="0" applyFont="1" applyFill="1" applyBorder="1" applyAlignment="1">
      <alignment horizontal="center" wrapText="1"/>
    </xf>
    <xf numFmtId="0" fontId="12" fillId="0" borderId="11" xfId="0" applyFont="1" applyFill="1" applyBorder="1" applyAlignment="1">
      <alignment horizontal="center" vertical="center" wrapText="1"/>
    </xf>
    <xf numFmtId="172" fontId="0" fillId="0" borderId="1" xfId="0" applyNumberFormat="1" applyBorder="1" applyAlignment="1"/>
    <xf numFmtId="172" fontId="0" fillId="0" borderId="15" xfId="0" applyNumberFormat="1" applyBorder="1"/>
    <xf numFmtId="172" fontId="0" fillId="0" borderId="1" xfId="0" applyNumberFormat="1" applyBorder="1"/>
    <xf numFmtId="172" fontId="0" fillId="0" borderId="21" xfId="0" applyNumberFormat="1" applyBorder="1" applyAlignment="1"/>
    <xf numFmtId="172" fontId="12" fillId="0" borderId="22" xfId="0" applyNumberFormat="1" applyFont="1" applyBorder="1"/>
    <xf numFmtId="0" fontId="39" fillId="20" borderId="1" xfId="0" applyFont="1" applyFill="1" applyBorder="1" applyAlignment="1">
      <alignment horizontal="center" vertical="center"/>
    </xf>
    <xf numFmtId="0" fontId="38" fillId="20" borderId="1" xfId="0" applyFont="1" applyFill="1" applyBorder="1" applyAlignment="1">
      <alignment horizontal="center" vertical="center"/>
    </xf>
    <xf numFmtId="172" fontId="38" fillId="0" borderId="0" xfId="0" applyNumberFormat="1" applyFont="1" applyFill="1"/>
    <xf numFmtId="0" fontId="40" fillId="0" borderId="68" xfId="0" applyFont="1" applyFill="1" applyBorder="1" applyAlignment="1">
      <alignment vertical="center" wrapText="1"/>
    </xf>
    <xf numFmtId="173" fontId="38" fillId="18" borderId="60" xfId="0" applyNumberFormat="1" applyFont="1" applyFill="1" applyBorder="1" applyAlignment="1">
      <alignment horizontal="center" vertical="center"/>
    </xf>
    <xf numFmtId="9" fontId="38" fillId="18" borderId="1" xfId="0" applyNumberFormat="1" applyFont="1" applyFill="1" applyBorder="1" applyAlignment="1">
      <alignment horizontal="center" vertical="center" wrapText="1"/>
    </xf>
    <xf numFmtId="0" fontId="41" fillId="9" borderId="0" xfId="0" applyFont="1" applyFill="1"/>
    <xf numFmtId="0" fontId="41" fillId="16" borderId="1" xfId="0" applyFont="1" applyFill="1" applyBorder="1"/>
    <xf numFmtId="0" fontId="41" fillId="16" borderId="1" xfId="0" applyFont="1" applyFill="1" applyBorder="1" applyAlignment="1">
      <alignment horizontal="center" vertical="center" wrapText="1"/>
    </xf>
    <xf numFmtId="17" fontId="41" fillId="16" borderId="1" xfId="0" applyNumberFormat="1" applyFont="1" applyFill="1" applyBorder="1" applyAlignment="1">
      <alignment horizontal="center" vertical="center" wrapText="1"/>
    </xf>
    <xf numFmtId="0" fontId="41" fillId="0" borderId="0" xfId="0" applyFont="1" applyFill="1"/>
    <xf numFmtId="0" fontId="41" fillId="2" borderId="0" xfId="0" applyFont="1" applyFill="1"/>
    <xf numFmtId="0" fontId="41" fillId="15" borderId="1" xfId="0" applyFont="1" applyFill="1" applyBorder="1" applyAlignment="1">
      <alignment horizontal="center" vertical="center"/>
    </xf>
    <xf numFmtId="0" fontId="18" fillId="15" borderId="1" xfId="0" applyFont="1" applyFill="1" applyBorder="1" applyAlignment="1">
      <alignment horizontal="center" vertical="center"/>
    </xf>
    <xf numFmtId="9" fontId="41" fillId="15" borderId="1" xfId="0" applyNumberFormat="1" applyFont="1" applyFill="1" applyBorder="1" applyAlignment="1">
      <alignment horizontal="center" vertical="center" wrapText="1"/>
    </xf>
    <xf numFmtId="0" fontId="41" fillId="15" borderId="1" xfId="0" applyFont="1" applyFill="1" applyBorder="1" applyAlignment="1">
      <alignment horizontal="center" vertical="center" wrapText="1"/>
    </xf>
    <xf numFmtId="4" fontId="41" fillId="9" borderId="0" xfId="0" applyNumberFormat="1" applyFont="1" applyFill="1"/>
    <xf numFmtId="4" fontId="18" fillId="15" borderId="1" xfId="0" applyNumberFormat="1" applyFont="1" applyFill="1" applyBorder="1" applyAlignment="1">
      <alignment horizontal="center" vertical="center"/>
    </xf>
    <xf numFmtId="10" fontId="18" fillId="15" borderId="1" xfId="0" applyNumberFormat="1" applyFont="1" applyFill="1" applyBorder="1" applyAlignment="1">
      <alignment horizontal="center" vertical="center"/>
    </xf>
    <xf numFmtId="17" fontId="18" fillId="15" borderId="1" xfId="0" applyNumberFormat="1" applyFont="1" applyFill="1" applyBorder="1" applyAlignment="1">
      <alignment horizontal="center" vertical="center" wrapText="1"/>
    </xf>
    <xf numFmtId="0" fontId="18" fillId="15" borderId="1" xfId="0" applyFont="1" applyFill="1" applyBorder="1" applyAlignment="1">
      <alignment horizontal="center" vertical="center" wrapText="1"/>
    </xf>
    <xf numFmtId="0" fontId="18" fillId="0" borderId="0" xfId="0" applyFont="1" applyFill="1"/>
    <xf numFmtId="0" fontId="59" fillId="16" borderId="1" xfId="0" applyFont="1" applyFill="1" applyBorder="1" applyAlignment="1">
      <alignment horizontal="center" vertical="center"/>
    </xf>
    <xf numFmtId="0" fontId="59" fillId="16" borderId="1" xfId="0" applyFont="1" applyFill="1" applyBorder="1" applyAlignment="1">
      <alignment vertical="center" wrapText="1"/>
    </xf>
    <xf numFmtId="172" fontId="59" fillId="16" borderId="1" xfId="0" applyNumberFormat="1" applyFont="1" applyFill="1" applyBorder="1" applyAlignment="1">
      <alignment horizontal="center" vertical="center"/>
    </xf>
    <xf numFmtId="173" fontId="59" fillId="16" borderId="1" xfId="0" applyNumberFormat="1" applyFont="1" applyFill="1" applyBorder="1" applyAlignment="1">
      <alignment horizontal="center" vertical="center"/>
    </xf>
    <xf numFmtId="0" fontId="59" fillId="16" borderId="1" xfId="0" applyFont="1" applyFill="1" applyBorder="1" applyAlignment="1">
      <alignment horizontal="center" vertical="center" wrapText="1"/>
    </xf>
    <xf numFmtId="0" fontId="59" fillId="15" borderId="1" xfId="0" applyFont="1" applyFill="1" applyBorder="1" applyAlignment="1">
      <alignment horizontal="center" vertical="center"/>
    </xf>
    <xf numFmtId="0" fontId="59" fillId="15" borderId="1" xfId="0" applyFont="1" applyFill="1" applyBorder="1" applyAlignment="1">
      <alignment vertical="center" wrapText="1"/>
    </xf>
    <xf numFmtId="172" fontId="59" fillId="15" borderId="1" xfId="0" applyNumberFormat="1" applyFont="1" applyFill="1" applyBorder="1" applyAlignment="1">
      <alignment horizontal="center" vertical="center"/>
    </xf>
    <xf numFmtId="173" fontId="59" fillId="15" borderId="1" xfId="0" applyNumberFormat="1" applyFont="1" applyFill="1" applyBorder="1" applyAlignment="1">
      <alignment horizontal="center" vertical="center"/>
    </xf>
    <xf numFmtId="1" fontId="59" fillId="15" borderId="1" xfId="0" applyNumberFormat="1" applyFont="1" applyFill="1" applyBorder="1" applyAlignment="1">
      <alignment horizontal="center" vertical="center" wrapText="1"/>
    </xf>
    <xf numFmtId="0" fontId="59" fillId="15" borderId="1" xfId="0" applyFont="1" applyFill="1" applyBorder="1" applyAlignment="1">
      <alignment horizontal="center" vertical="center" wrapText="1"/>
    </xf>
    <xf numFmtId="4" fontId="59" fillId="15" borderId="1" xfId="0" applyNumberFormat="1" applyFont="1" applyFill="1" applyBorder="1" applyAlignment="1">
      <alignment horizontal="center" vertical="center" wrapText="1"/>
    </xf>
    <xf numFmtId="0" fontId="60" fillId="0" borderId="1" xfId="0" applyFont="1" applyFill="1" applyBorder="1" applyAlignment="1">
      <alignment horizontal="center" vertical="center"/>
    </xf>
    <xf numFmtId="0" fontId="61" fillId="0" borderId="1" xfId="0" applyFont="1" applyFill="1" applyBorder="1" applyAlignment="1">
      <alignment horizontal="center" vertical="center"/>
    </xf>
    <xf numFmtId="0" fontId="60" fillId="0" borderId="1" xfId="0" applyFont="1" applyFill="1" applyBorder="1" applyAlignment="1">
      <alignment vertical="center" wrapText="1"/>
    </xf>
    <xf numFmtId="172" fontId="60" fillId="0" borderId="1" xfId="0" applyNumberFormat="1" applyFont="1" applyFill="1" applyBorder="1" applyAlignment="1">
      <alignment horizontal="center" vertical="center"/>
    </xf>
    <xf numFmtId="173" fontId="60" fillId="0" borderId="1" xfId="0" applyNumberFormat="1" applyFont="1" applyFill="1" applyBorder="1" applyAlignment="1">
      <alignment horizontal="center" vertical="center"/>
    </xf>
    <xf numFmtId="1" fontId="60" fillId="0" borderId="1" xfId="0" applyNumberFormat="1" applyFont="1" applyFill="1" applyBorder="1" applyAlignment="1">
      <alignment horizontal="center" vertical="center" wrapText="1"/>
    </xf>
    <xf numFmtId="4" fontId="60" fillId="0" borderId="1" xfId="0" applyNumberFormat="1" applyFont="1" applyFill="1" applyBorder="1" applyAlignment="1">
      <alignment horizontal="center" vertical="center" wrapText="1"/>
    </xf>
    <xf numFmtId="9" fontId="60" fillId="0" borderId="1" xfId="0" applyNumberFormat="1" applyFont="1" applyFill="1" applyBorder="1" applyAlignment="1">
      <alignment horizontal="center" vertical="center" wrapText="1"/>
    </xf>
    <xf numFmtId="17" fontId="60" fillId="0" borderId="1" xfId="0" applyNumberFormat="1" applyFont="1" applyFill="1" applyBorder="1" applyAlignment="1">
      <alignment horizontal="center" vertical="center" wrapText="1"/>
    </xf>
    <xf numFmtId="0" fontId="60" fillId="2" borderId="1" xfId="0" applyFont="1" applyFill="1" applyBorder="1" applyAlignment="1">
      <alignment horizontal="center" vertical="center"/>
    </xf>
    <xf numFmtId="0" fontId="60" fillId="2" borderId="1" xfId="0" applyFont="1" applyFill="1" applyBorder="1" applyAlignment="1">
      <alignment vertical="center" wrapText="1"/>
    </xf>
    <xf numFmtId="1" fontId="60" fillId="2" borderId="1" xfId="0" applyNumberFormat="1" applyFont="1" applyFill="1" applyBorder="1" applyAlignment="1">
      <alignment horizontal="center" vertical="center" wrapText="1"/>
    </xf>
    <xf numFmtId="172" fontId="60" fillId="2" borderId="1" xfId="0" applyNumberFormat="1" applyFont="1" applyFill="1" applyBorder="1" applyAlignment="1">
      <alignment horizontal="center" vertical="center"/>
    </xf>
    <xf numFmtId="4" fontId="60" fillId="2" borderId="1" xfId="0" applyNumberFormat="1" applyFont="1" applyFill="1" applyBorder="1" applyAlignment="1">
      <alignment horizontal="center" vertical="center" wrapText="1"/>
    </xf>
    <xf numFmtId="9" fontId="60" fillId="2" borderId="1" xfId="0" applyNumberFormat="1" applyFont="1" applyFill="1" applyBorder="1" applyAlignment="1">
      <alignment horizontal="center" vertical="center" wrapText="1"/>
    </xf>
    <xf numFmtId="17" fontId="60" fillId="2" borderId="1" xfId="0" applyNumberFormat="1" applyFont="1" applyFill="1" applyBorder="1" applyAlignment="1">
      <alignment horizontal="center" vertical="center" wrapText="1"/>
    </xf>
    <xf numFmtId="0" fontId="60" fillId="2" borderId="1" xfId="0" applyFont="1" applyFill="1" applyBorder="1" applyAlignment="1">
      <alignment horizontal="center" vertical="center" wrapText="1"/>
    </xf>
    <xf numFmtId="0" fontId="60" fillId="2" borderId="60" xfId="0" applyFont="1" applyFill="1" applyBorder="1" applyAlignment="1">
      <alignment vertical="center" wrapText="1"/>
    </xf>
    <xf numFmtId="172" fontId="60" fillId="2" borderId="60" xfId="0" applyNumberFormat="1" applyFont="1" applyFill="1" applyBorder="1" applyAlignment="1">
      <alignment horizontal="center" vertical="center"/>
    </xf>
    <xf numFmtId="173" fontId="60" fillId="0" borderId="60" xfId="0" applyNumberFormat="1" applyFont="1" applyFill="1" applyBorder="1" applyAlignment="1">
      <alignment horizontal="center" vertical="center"/>
    </xf>
    <xf numFmtId="0" fontId="61" fillId="20" borderId="1" xfId="0" applyFont="1" applyFill="1" applyBorder="1" applyAlignment="1">
      <alignment horizontal="center" vertical="center"/>
    </xf>
    <xf numFmtId="0" fontId="61" fillId="20" borderId="60" xfId="0" applyFont="1" applyFill="1" applyBorder="1" applyAlignment="1">
      <alignment vertical="center" wrapText="1"/>
    </xf>
    <xf numFmtId="172" fontId="60" fillId="20" borderId="60" xfId="0" applyNumberFormat="1" applyFont="1" applyFill="1" applyBorder="1" applyAlignment="1">
      <alignment horizontal="center" vertical="center"/>
    </xf>
    <xf numFmtId="173" fontId="60" fillId="20" borderId="60" xfId="0" applyNumberFormat="1" applyFont="1" applyFill="1" applyBorder="1" applyAlignment="1">
      <alignment horizontal="center" vertical="center"/>
    </xf>
    <xf numFmtId="4" fontId="60" fillId="20" borderId="1" xfId="0" applyNumberFormat="1" applyFont="1" applyFill="1" applyBorder="1" applyAlignment="1">
      <alignment horizontal="center" vertical="center" wrapText="1"/>
    </xf>
    <xf numFmtId="9" fontId="60" fillId="20" borderId="1" xfId="0" applyNumberFormat="1" applyFont="1" applyFill="1" applyBorder="1" applyAlignment="1">
      <alignment horizontal="center" vertical="center" wrapText="1"/>
    </xf>
    <xf numFmtId="17" fontId="60" fillId="20" borderId="1" xfId="0" applyNumberFormat="1" applyFont="1" applyFill="1" applyBorder="1" applyAlignment="1">
      <alignment horizontal="center" vertical="center" wrapText="1"/>
    </xf>
    <xf numFmtId="0" fontId="60" fillId="20" borderId="1" xfId="0" applyFont="1" applyFill="1" applyBorder="1" applyAlignment="1">
      <alignment horizontal="center" vertical="center" wrapText="1"/>
    </xf>
    <xf numFmtId="0" fontId="60" fillId="0" borderId="60" xfId="0" applyFont="1" applyFill="1" applyBorder="1" applyAlignment="1">
      <alignment horizontal="left" vertical="center" wrapText="1"/>
    </xf>
    <xf numFmtId="172" fontId="60" fillId="0" borderId="60" xfId="0" applyNumberFormat="1" applyFont="1" applyFill="1" applyBorder="1" applyAlignment="1">
      <alignment horizontal="center" vertical="center" wrapText="1"/>
    </xf>
    <xf numFmtId="0" fontId="60" fillId="0" borderId="1" xfId="0" applyFont="1" applyFill="1" applyBorder="1" applyAlignment="1">
      <alignment horizontal="left" vertical="center" wrapText="1"/>
    </xf>
    <xf numFmtId="172" fontId="60" fillId="0" borderId="1" xfId="0" applyNumberFormat="1" applyFont="1" applyFill="1" applyBorder="1" applyAlignment="1">
      <alignment horizontal="center" vertical="center" wrapText="1"/>
    </xf>
    <xf numFmtId="0" fontId="60" fillId="0" borderId="1" xfId="0" applyFont="1" applyFill="1" applyBorder="1" applyAlignment="1">
      <alignment horizontal="left" vertical="top" wrapText="1"/>
    </xf>
    <xf numFmtId="172" fontId="60" fillId="0" borderId="68" xfId="0" applyNumberFormat="1" applyFont="1" applyFill="1" applyBorder="1" applyAlignment="1">
      <alignment horizontal="center" vertical="center" wrapText="1"/>
    </xf>
    <xf numFmtId="0" fontId="60" fillId="0" borderId="1" xfId="0" applyFont="1" applyFill="1" applyBorder="1" applyAlignment="1">
      <alignment horizontal="center" vertical="center" wrapText="1"/>
    </xf>
    <xf numFmtId="0" fontId="60" fillId="20" borderId="1" xfId="0" applyFont="1" applyFill="1" applyBorder="1" applyAlignment="1">
      <alignment horizontal="center" vertical="center"/>
    </xf>
    <xf numFmtId="172" fontId="60" fillId="20" borderId="1" xfId="0" applyNumberFormat="1" applyFont="1" applyFill="1" applyBorder="1" applyAlignment="1">
      <alignment horizontal="center" vertical="center"/>
    </xf>
    <xf numFmtId="173" fontId="60" fillId="20" borderId="1" xfId="0" applyNumberFormat="1" applyFont="1" applyFill="1" applyBorder="1" applyAlignment="1">
      <alignment horizontal="center" vertical="center"/>
    </xf>
    <xf numFmtId="0" fontId="60" fillId="0" borderId="1" xfId="0" applyFont="1" applyBorder="1" applyAlignment="1">
      <alignment horizontal="center" vertical="center" wrapText="1"/>
    </xf>
    <xf numFmtId="0" fontId="61" fillId="2" borderId="1" xfId="0" applyFont="1" applyFill="1" applyBorder="1" applyAlignment="1">
      <alignment horizontal="center" vertical="center"/>
    </xf>
    <xf numFmtId="0" fontId="60" fillId="2" borderId="1" xfId="0" applyFont="1" applyFill="1" applyBorder="1" applyAlignment="1">
      <alignment horizontal="left" vertical="center" wrapText="1"/>
    </xf>
    <xf numFmtId="4" fontId="60" fillId="2" borderId="1" xfId="0" applyNumberFormat="1" applyFont="1" applyFill="1" applyBorder="1" applyAlignment="1">
      <alignment horizontal="center" vertical="center"/>
    </xf>
    <xf numFmtId="9" fontId="60" fillId="2" borderId="1" xfId="0" applyNumberFormat="1" applyFont="1" applyFill="1" applyBorder="1" applyAlignment="1">
      <alignment horizontal="center" vertical="center"/>
    </xf>
    <xf numFmtId="4" fontId="60" fillId="0" borderId="1" xfId="0" applyNumberFormat="1" applyFont="1" applyFill="1" applyBorder="1" applyAlignment="1">
      <alignment horizontal="center" vertical="center"/>
    </xf>
    <xf numFmtId="0" fontId="60" fillId="0" borderId="1" xfId="0" applyFont="1" applyBorder="1" applyAlignment="1">
      <alignment vertical="center" wrapText="1"/>
    </xf>
    <xf numFmtId="0" fontId="0" fillId="0" borderId="1" xfId="0" applyBorder="1"/>
    <xf numFmtId="0" fontId="12" fillId="0" borderId="1" xfId="0" applyFont="1" applyBorder="1" applyAlignment="1">
      <alignment wrapText="1"/>
    </xf>
    <xf numFmtId="17" fontId="12" fillId="0" borderId="1" xfId="0" applyNumberFormat="1" applyFont="1" applyBorder="1" applyAlignment="1">
      <alignment horizontal="center" vertical="center" wrapText="1"/>
    </xf>
    <xf numFmtId="0" fontId="12" fillId="0" borderId="1" xfId="0" applyFont="1" applyBorder="1" applyAlignment="1">
      <alignment horizontal="center" vertical="center" wrapText="1"/>
    </xf>
    <xf numFmtId="172" fontId="12" fillId="0" borderId="1" xfId="0" applyNumberFormat="1" applyFont="1" applyBorder="1"/>
    <xf numFmtId="0" fontId="41" fillId="0" borderId="64" xfId="0" applyFont="1" applyBorder="1" applyAlignment="1"/>
    <xf numFmtId="0" fontId="41" fillId="0" borderId="18" xfId="0" applyFont="1" applyBorder="1" applyAlignment="1"/>
    <xf numFmtId="0" fontId="55" fillId="17" borderId="1" xfId="0" applyFont="1" applyFill="1" applyBorder="1" applyAlignment="1">
      <alignment horizontal="center" vertical="center" wrapText="1"/>
    </xf>
    <xf numFmtId="0" fontId="60" fillId="21" borderId="1" xfId="0" applyFont="1" applyFill="1" applyBorder="1" applyAlignment="1">
      <alignment horizontal="left" vertical="center" wrapText="1"/>
    </xf>
    <xf numFmtId="0" fontId="55" fillId="17" borderId="1" xfId="0" applyFont="1" applyFill="1" applyBorder="1" applyAlignment="1">
      <alignment horizontal="center" vertical="center" wrapText="1"/>
    </xf>
    <xf numFmtId="0" fontId="38" fillId="0" borderId="1" xfId="0" applyFont="1" applyFill="1" applyBorder="1" applyAlignment="1">
      <alignment vertical="center" wrapText="1"/>
    </xf>
    <xf numFmtId="173" fontId="38" fillId="0" borderId="1" xfId="0" applyNumberFormat="1" applyFont="1" applyFill="1" applyBorder="1" applyAlignment="1">
      <alignment horizontal="center" vertical="center"/>
    </xf>
    <xf numFmtId="173" fontId="38" fillId="0" borderId="60" xfId="0" applyNumberFormat="1" applyFont="1" applyFill="1" applyBorder="1" applyAlignment="1">
      <alignment horizontal="center" vertical="center"/>
    </xf>
    <xf numFmtId="0" fontId="39" fillId="18" borderId="60" xfId="0" applyFont="1" applyFill="1" applyBorder="1" applyAlignment="1">
      <alignment horizontal="center" vertical="center"/>
    </xf>
    <xf numFmtId="0" fontId="38" fillId="0" borderId="1" xfId="0" applyFont="1" applyFill="1" applyBorder="1" applyAlignment="1">
      <alignment horizontal="left" vertical="center" wrapText="1"/>
    </xf>
    <xf numFmtId="0" fontId="38" fillId="0" borderId="56" xfId="0" applyFont="1" applyFill="1" applyBorder="1" applyAlignment="1">
      <alignment vertical="center" wrapText="1"/>
    </xf>
    <xf numFmtId="0" fontId="38" fillId="0" borderId="30" xfId="0" applyFont="1" applyFill="1" applyBorder="1" applyAlignment="1">
      <alignment horizontal="left" vertical="center" wrapText="1"/>
    </xf>
    <xf numFmtId="0" fontId="38" fillId="16" borderId="1" xfId="0" applyFont="1" applyFill="1" applyBorder="1"/>
    <xf numFmtId="0" fontId="62" fillId="16" borderId="1" xfId="0" applyFont="1" applyFill="1" applyBorder="1" applyAlignment="1">
      <alignment horizontal="center" vertical="center"/>
    </xf>
    <xf numFmtId="0" fontId="62" fillId="16" borderId="1" xfId="0" applyFont="1" applyFill="1" applyBorder="1" applyAlignment="1">
      <alignment vertical="center" wrapText="1"/>
    </xf>
    <xf numFmtId="0" fontId="38" fillId="16" borderId="1" xfId="0" applyFont="1" applyFill="1" applyBorder="1" applyAlignment="1">
      <alignment horizontal="center" vertical="center" wrapText="1"/>
    </xf>
    <xf numFmtId="0" fontId="62" fillId="15" borderId="1" xfId="0" applyFont="1" applyFill="1" applyBorder="1" applyAlignment="1">
      <alignment horizontal="center" vertical="center"/>
    </xf>
    <xf numFmtId="172" fontId="62" fillId="15" borderId="1" xfId="0" applyNumberFormat="1" applyFont="1" applyFill="1" applyBorder="1" applyAlignment="1">
      <alignment horizontal="center" vertical="center"/>
    </xf>
    <xf numFmtId="9" fontId="38" fillId="15" borderId="1" xfId="0" applyNumberFormat="1" applyFont="1" applyFill="1" applyBorder="1" applyAlignment="1">
      <alignment horizontal="center" vertical="center" wrapText="1"/>
    </xf>
    <xf numFmtId="0" fontId="39" fillId="15" borderId="1" xfId="0" applyFont="1" applyFill="1" applyBorder="1" applyAlignment="1">
      <alignment horizontal="center" vertical="center"/>
    </xf>
    <xf numFmtId="0" fontId="62" fillId="15" borderId="1" xfId="0" applyFont="1" applyFill="1" applyBorder="1" applyAlignment="1">
      <alignment horizontal="center" vertical="center" wrapText="1"/>
    </xf>
    <xf numFmtId="4" fontId="39" fillId="15" borderId="1" xfId="0" applyNumberFormat="1" applyFont="1" applyFill="1" applyBorder="1" applyAlignment="1">
      <alignment horizontal="center" vertical="center"/>
    </xf>
    <xf numFmtId="10" fontId="39" fillId="15" borderId="1" xfId="0" applyNumberFormat="1" applyFont="1" applyFill="1" applyBorder="1" applyAlignment="1">
      <alignment horizontal="center" vertical="center"/>
    </xf>
    <xf numFmtId="0" fontId="38" fillId="2" borderId="0" xfId="0" applyFont="1" applyFill="1" applyAlignment="1">
      <alignment horizontal="right" vertical="center"/>
    </xf>
    <xf numFmtId="172" fontId="60" fillId="2" borderId="1" xfId="0" applyNumberFormat="1" applyFont="1" applyFill="1" applyBorder="1" applyAlignment="1">
      <alignment horizontal="right" vertical="center"/>
    </xf>
    <xf numFmtId="172" fontId="60" fillId="0" borderId="1" xfId="0" applyNumberFormat="1" applyFont="1" applyFill="1" applyBorder="1" applyAlignment="1">
      <alignment horizontal="right" vertical="center"/>
    </xf>
    <xf numFmtId="172" fontId="62" fillId="15" borderId="1" xfId="0" applyNumberFormat="1" applyFont="1" applyFill="1" applyBorder="1" applyAlignment="1">
      <alignment horizontal="right" vertical="center"/>
    </xf>
    <xf numFmtId="172" fontId="38" fillId="0" borderId="1" xfId="0" applyNumberFormat="1" applyFont="1" applyFill="1" applyBorder="1" applyAlignment="1">
      <alignment horizontal="right" vertical="center"/>
    </xf>
    <xf numFmtId="172" fontId="38" fillId="14" borderId="60" xfId="0" applyNumberFormat="1" applyFont="1" applyFill="1" applyBorder="1" applyAlignment="1">
      <alignment horizontal="right" vertical="center"/>
    </xf>
    <xf numFmtId="172" fontId="60" fillId="20" borderId="60" xfId="0" applyNumberFormat="1" applyFont="1" applyFill="1" applyBorder="1" applyAlignment="1">
      <alignment horizontal="right" vertical="center"/>
    </xf>
    <xf numFmtId="0" fontId="38" fillId="9" borderId="0" xfId="0" applyFont="1" applyFill="1" applyAlignment="1"/>
    <xf numFmtId="14" fontId="38" fillId="9" borderId="0" xfId="0" applyNumberFormat="1" applyFont="1" applyFill="1" applyBorder="1" applyAlignment="1"/>
    <xf numFmtId="172" fontId="62" fillId="16" borderId="1" xfId="0" applyNumberFormat="1" applyFont="1" applyFill="1" applyBorder="1" applyAlignment="1">
      <alignment vertical="center"/>
    </xf>
    <xf numFmtId="172" fontId="60" fillId="0" borderId="1" xfId="0" applyNumberFormat="1" applyFont="1" applyFill="1" applyBorder="1" applyAlignment="1">
      <alignment vertical="center"/>
    </xf>
    <xf numFmtId="172" fontId="62" fillId="15" borderId="1" xfId="0" applyNumberFormat="1" applyFont="1" applyFill="1" applyBorder="1" applyAlignment="1">
      <alignment vertical="center"/>
    </xf>
    <xf numFmtId="172" fontId="38" fillId="18" borderId="1" xfId="0" applyNumberFormat="1" applyFont="1" applyFill="1" applyBorder="1" applyAlignment="1">
      <alignment vertical="center"/>
    </xf>
    <xf numFmtId="172" fontId="60" fillId="2" borderId="1" xfId="0" applyNumberFormat="1" applyFont="1" applyFill="1" applyBorder="1" applyAlignment="1">
      <alignment vertical="center"/>
    </xf>
    <xf numFmtId="0" fontId="38" fillId="0" borderId="0" xfId="0" applyFont="1" applyFill="1" applyAlignment="1"/>
    <xf numFmtId="9" fontId="67" fillId="2" borderId="41" xfId="0" applyNumberFormat="1" applyFont="1" applyFill="1" applyBorder="1"/>
    <xf numFmtId="0" fontId="66" fillId="9" borderId="1" xfId="0" applyFont="1" applyFill="1" applyBorder="1"/>
    <xf numFmtId="172" fontId="62" fillId="16" borderId="1" xfId="0" applyNumberFormat="1" applyFont="1" applyFill="1" applyBorder="1" applyAlignment="1">
      <alignment horizontal="right" vertical="center"/>
    </xf>
    <xf numFmtId="0" fontId="63" fillId="0" borderId="1" xfId="0" applyFont="1" applyFill="1" applyBorder="1" applyAlignment="1">
      <alignment vertical="center" wrapText="1"/>
    </xf>
    <xf numFmtId="172" fontId="39" fillId="18" borderId="1" xfId="0" applyNumberFormat="1" applyFont="1" applyFill="1" applyBorder="1" applyAlignment="1">
      <alignment horizontal="right" vertical="center"/>
    </xf>
    <xf numFmtId="173" fontId="39" fillId="18" borderId="1" xfId="0" applyNumberFormat="1" applyFont="1" applyFill="1" applyBorder="1" applyAlignment="1">
      <alignment horizontal="center" vertical="center"/>
    </xf>
    <xf numFmtId="172" fontId="39" fillId="14" borderId="60" xfId="0" applyNumberFormat="1" applyFont="1" applyFill="1" applyBorder="1" applyAlignment="1">
      <alignment horizontal="right" vertical="center"/>
    </xf>
    <xf numFmtId="173" fontId="39" fillId="18" borderId="60" xfId="0" applyNumberFormat="1" applyFont="1" applyFill="1" applyBorder="1" applyAlignment="1">
      <alignment horizontal="center" vertical="center"/>
    </xf>
    <xf numFmtId="172" fontId="39" fillId="18" borderId="1" xfId="0" applyNumberFormat="1" applyFont="1" applyFill="1" applyBorder="1" applyAlignment="1">
      <alignment vertical="center"/>
    </xf>
    <xf numFmtId="0" fontId="55" fillId="17" borderId="1" xfId="0" applyFont="1" applyFill="1" applyBorder="1" applyAlignment="1">
      <alignment horizontal="center" vertical="center" wrapText="1"/>
    </xf>
    <xf numFmtId="0" fontId="38" fillId="0" borderId="0" xfId="0" applyFont="1" applyFill="1" applyAlignment="1">
      <alignment horizontal="right" vertical="center"/>
    </xf>
    <xf numFmtId="0" fontId="63" fillId="0" borderId="56" xfId="0" applyFont="1" applyFill="1" applyBorder="1" applyAlignment="1">
      <alignment vertical="center" wrapText="1"/>
    </xf>
    <xf numFmtId="0" fontId="63" fillId="0" borderId="1" xfId="0" applyFont="1" applyFill="1" applyBorder="1" applyAlignment="1">
      <alignment horizontal="left" vertical="center" wrapText="1"/>
    </xf>
    <xf numFmtId="0" fontId="63" fillId="0" borderId="60" xfId="0" applyFont="1" applyFill="1" applyBorder="1" applyAlignment="1">
      <alignment vertical="center" wrapText="1"/>
    </xf>
    <xf numFmtId="4" fontId="63" fillId="0" borderId="1" xfId="0" applyNumberFormat="1" applyFont="1" applyFill="1" applyBorder="1" applyAlignment="1">
      <alignment horizontal="center" vertical="center" wrapText="1"/>
    </xf>
    <xf numFmtId="0" fontId="38" fillId="2" borderId="56" xfId="0" applyFont="1" applyFill="1" applyBorder="1" applyAlignment="1">
      <alignment vertical="center" wrapText="1"/>
    </xf>
    <xf numFmtId="0" fontId="38" fillId="2" borderId="1" xfId="0" applyFont="1" applyFill="1" applyBorder="1" applyAlignment="1">
      <alignment horizontal="left" vertical="center" wrapText="1"/>
    </xf>
    <xf numFmtId="1" fontId="63" fillId="2" borderId="1" xfId="0" applyNumberFormat="1" applyFont="1" applyFill="1" applyBorder="1" applyAlignment="1">
      <alignment horizontal="center" vertical="center" wrapText="1"/>
    </xf>
    <xf numFmtId="0" fontId="55" fillId="17" borderId="1" xfId="0" applyFont="1" applyFill="1" applyBorder="1" applyAlignment="1">
      <alignment horizontal="center" vertical="center" wrapText="1"/>
    </xf>
    <xf numFmtId="0" fontId="38" fillId="15" borderId="1" xfId="0" applyFont="1" applyFill="1" applyBorder="1" applyAlignment="1">
      <alignment horizontal="left" vertical="center" wrapText="1"/>
    </xf>
    <xf numFmtId="0" fontId="38" fillId="18" borderId="1" xfId="0" applyFont="1" applyFill="1" applyBorder="1" applyAlignment="1">
      <alignment horizontal="left" vertical="center" wrapText="1"/>
    </xf>
    <xf numFmtId="17" fontId="60" fillId="2" borderId="1" xfId="0" applyNumberFormat="1" applyFont="1" applyFill="1" applyBorder="1" applyAlignment="1">
      <alignment horizontal="left" vertical="center" wrapText="1"/>
    </xf>
    <xf numFmtId="0" fontId="60" fillId="20" borderId="1" xfId="0" applyFont="1" applyFill="1" applyBorder="1" applyAlignment="1">
      <alignment horizontal="left" vertical="center" wrapText="1"/>
    </xf>
    <xf numFmtId="17" fontId="60" fillId="0" borderId="1" xfId="0" applyNumberFormat="1" applyFont="1" applyFill="1" applyBorder="1" applyAlignment="1">
      <alignment horizontal="left" vertical="center" wrapText="1"/>
    </xf>
    <xf numFmtId="0" fontId="60" fillId="2" borderId="56" xfId="0" applyFont="1" applyFill="1" applyBorder="1" applyAlignment="1">
      <alignment horizontal="left" vertical="center" wrapText="1"/>
    </xf>
    <xf numFmtId="0" fontId="39" fillId="15" borderId="1" xfId="0" applyFont="1" applyFill="1" applyBorder="1" applyAlignment="1">
      <alignment horizontal="left" vertical="center" wrapText="1"/>
    </xf>
    <xf numFmtId="0" fontId="0" fillId="0" borderId="0" xfId="0"/>
    <xf numFmtId="0" fontId="12" fillId="4" borderId="1" xfId="0" applyFont="1" applyFill="1" applyBorder="1"/>
    <xf numFmtId="0" fontId="0" fillId="0" borderId="1" xfId="0" applyFont="1" applyFill="1" applyBorder="1"/>
    <xf numFmtId="4" fontId="0" fillId="0" borderId="1" xfId="0" applyNumberFormat="1" applyFont="1" applyFill="1" applyBorder="1"/>
    <xf numFmtId="172" fontId="0" fillId="0" borderId="1" xfId="0" applyNumberFormat="1" applyFont="1" applyFill="1" applyBorder="1"/>
    <xf numFmtId="172" fontId="0" fillId="11" borderId="1" xfId="0" applyNumberFormat="1" applyFont="1" applyFill="1" applyBorder="1"/>
    <xf numFmtId="44" fontId="0" fillId="0" borderId="1" xfId="0" applyNumberFormat="1" applyFont="1" applyFill="1" applyBorder="1"/>
    <xf numFmtId="0" fontId="12" fillId="0" borderId="0" xfId="0" applyFont="1" applyFill="1" applyBorder="1" applyAlignment="1">
      <alignment vertical="center" wrapText="1"/>
    </xf>
    <xf numFmtId="0" fontId="12" fillId="4" borderId="1" xfId="0" applyFont="1" applyFill="1" applyBorder="1" applyAlignment="1">
      <alignment horizontal="center" vertical="center" wrapText="1"/>
    </xf>
    <xf numFmtId="0" fontId="12" fillId="13" borderId="1" xfId="0" applyFont="1" applyFill="1" applyBorder="1" applyAlignment="1">
      <alignment horizontal="center" vertical="center" wrapText="1"/>
    </xf>
    <xf numFmtId="0" fontId="12" fillId="14" borderId="1" xfId="0" applyFont="1" applyFill="1" applyBorder="1" applyAlignment="1">
      <alignment horizontal="center" vertical="center" wrapText="1"/>
    </xf>
    <xf numFmtId="0" fontId="40" fillId="0" borderId="68" xfId="0" applyFont="1" applyFill="1" applyBorder="1" applyAlignment="1">
      <alignment vertical="center" wrapText="1"/>
    </xf>
    <xf numFmtId="0" fontId="12" fillId="0" borderId="0" xfId="0" applyFont="1" applyAlignment="1">
      <alignment horizontal="center"/>
    </xf>
    <xf numFmtId="172" fontId="0" fillId="0" borderId="14" xfId="0" applyNumberFormat="1" applyFont="1" applyFill="1" applyBorder="1"/>
    <xf numFmtId="172" fontId="0" fillId="11" borderId="23" xfId="0" applyNumberFormat="1" applyFont="1" applyFill="1" applyBorder="1"/>
    <xf numFmtId="172" fontId="0" fillId="11" borderId="24" xfId="0" applyNumberFormat="1" applyFont="1" applyFill="1" applyBorder="1"/>
    <xf numFmtId="0" fontId="57" fillId="22" borderId="41" xfId="0" applyFont="1" applyFill="1" applyBorder="1" applyAlignment="1">
      <alignment horizontal="center"/>
    </xf>
    <xf numFmtId="0" fontId="12" fillId="14" borderId="30" xfId="0" applyFont="1" applyFill="1" applyBorder="1" applyAlignment="1">
      <alignment horizontal="center" vertical="center" wrapText="1"/>
    </xf>
    <xf numFmtId="0" fontId="0" fillId="0" borderId="30" xfId="0" applyFont="1" applyFill="1" applyBorder="1"/>
    <xf numFmtId="172" fontId="0" fillId="11" borderId="30" xfId="0" applyNumberFormat="1" applyFont="1" applyFill="1" applyBorder="1"/>
    <xf numFmtId="0" fontId="12" fillId="13" borderId="14" xfId="0" applyFont="1" applyFill="1" applyBorder="1" applyAlignment="1">
      <alignment horizontal="center" vertical="center" wrapText="1"/>
    </xf>
    <xf numFmtId="0" fontId="0" fillId="0" borderId="14" xfId="0" applyFont="1" applyFill="1" applyBorder="1"/>
    <xf numFmtId="172" fontId="0" fillId="0" borderId="15" xfId="0" applyNumberFormat="1" applyFont="1" applyFill="1" applyBorder="1"/>
    <xf numFmtId="172" fontId="0" fillId="11" borderId="26" xfId="0" applyNumberFormat="1" applyFont="1" applyFill="1" applyBorder="1"/>
    <xf numFmtId="0" fontId="0" fillId="0" borderId="29" xfId="0" applyFont="1" applyFill="1" applyBorder="1"/>
    <xf numFmtId="0" fontId="0" fillId="0" borderId="29" xfId="0" applyFont="1" applyFill="1" applyBorder="1" applyAlignment="1">
      <alignment vertical="center" wrapText="1"/>
    </xf>
    <xf numFmtId="0" fontId="0" fillId="0" borderId="29" xfId="0" applyFont="1" applyBorder="1"/>
    <xf numFmtId="4" fontId="0" fillId="0" borderId="23" xfId="0" applyNumberFormat="1" applyFont="1" applyBorder="1"/>
    <xf numFmtId="0" fontId="0" fillId="11" borderId="24" xfId="0" applyFont="1" applyFill="1" applyBorder="1"/>
    <xf numFmtId="4" fontId="0" fillId="11" borderId="24" xfId="0" applyNumberFormat="1" applyFont="1" applyFill="1" applyBorder="1"/>
    <xf numFmtId="0" fontId="0" fillId="0" borderId="0" xfId="0"/>
    <xf numFmtId="0" fontId="12" fillId="0" borderId="0" xfId="0" applyFont="1"/>
    <xf numFmtId="14" fontId="40" fillId="0" borderId="0" xfId="0" applyNumberFormat="1" applyFont="1" applyAlignment="1">
      <alignment horizontal="left"/>
    </xf>
    <xf numFmtId="172" fontId="0" fillId="0" borderId="1" xfId="0" applyNumberFormat="1" applyBorder="1"/>
    <xf numFmtId="0" fontId="0" fillId="0" borderId="1" xfId="0" applyBorder="1"/>
    <xf numFmtId="0" fontId="12" fillId="0" borderId="1" xfId="0" applyFont="1" applyBorder="1" applyAlignment="1">
      <alignment wrapText="1"/>
    </xf>
    <xf numFmtId="17" fontId="12" fillId="0" borderId="1" xfId="0" applyNumberFormat="1" applyFont="1" applyBorder="1" applyAlignment="1">
      <alignment horizontal="center" vertical="center" wrapText="1"/>
    </xf>
    <xf numFmtId="0" fontId="12" fillId="0" borderId="1" xfId="0" applyFont="1" applyBorder="1" applyAlignment="1">
      <alignment horizontal="center" vertical="center" wrapText="1"/>
    </xf>
    <xf numFmtId="172" fontId="12" fillId="0" borderId="1" xfId="0" applyNumberFormat="1" applyFont="1" applyBorder="1"/>
    <xf numFmtId="14" fontId="0" fillId="0" borderId="0" xfId="0" applyNumberFormat="1"/>
    <xf numFmtId="172" fontId="0" fillId="0" borderId="0" xfId="0" applyNumberFormat="1"/>
    <xf numFmtId="0" fontId="0" fillId="0" borderId="0" xfId="0"/>
    <xf numFmtId="4" fontId="38" fillId="18" borderId="1" xfId="0" applyNumberFormat="1" applyFont="1" applyFill="1" applyBorder="1" applyAlignment="1">
      <alignment horizontal="center" vertical="center" wrapText="1"/>
    </xf>
    <xf numFmtId="0" fontId="12" fillId="4" borderId="1" xfId="0" applyFont="1" applyFill="1" applyBorder="1"/>
    <xf numFmtId="0" fontId="0" fillId="0" borderId="1" xfId="0" applyFont="1" applyFill="1" applyBorder="1"/>
    <xf numFmtId="4" fontId="0" fillId="0" borderId="1" xfId="0" applyNumberFormat="1" applyFont="1" applyFill="1" applyBorder="1"/>
    <xf numFmtId="172" fontId="0" fillId="0" borderId="1" xfId="0" applyNumberFormat="1" applyFont="1" applyFill="1" applyBorder="1"/>
    <xf numFmtId="172" fontId="0" fillId="11" borderId="1" xfId="0" applyNumberFormat="1" applyFont="1" applyFill="1" applyBorder="1"/>
    <xf numFmtId="44" fontId="0" fillId="0" borderId="1" xfId="0" applyNumberFormat="1" applyFont="1" applyFill="1" applyBorder="1"/>
    <xf numFmtId="0" fontId="12" fillId="0" borderId="0" xfId="0" applyFont="1" applyFill="1" applyBorder="1" applyAlignment="1">
      <alignment vertical="center" wrapText="1"/>
    </xf>
    <xf numFmtId="0" fontId="12" fillId="4" borderId="1" xfId="0" applyFont="1" applyFill="1" applyBorder="1" applyAlignment="1">
      <alignment horizontal="center" vertical="center" wrapText="1"/>
    </xf>
    <xf numFmtId="0" fontId="12" fillId="13" borderId="1" xfId="0" applyFont="1" applyFill="1" applyBorder="1" applyAlignment="1">
      <alignment horizontal="center" vertical="center" wrapText="1"/>
    </xf>
    <xf numFmtId="0" fontId="12" fillId="14" borderId="1" xfId="0" applyFont="1" applyFill="1" applyBorder="1" applyAlignment="1">
      <alignment horizontal="center" vertical="center" wrapText="1"/>
    </xf>
    <xf numFmtId="0" fontId="40" fillId="0" borderId="68" xfId="0" applyFont="1" applyFill="1" applyBorder="1" applyAlignment="1">
      <alignment vertical="center" wrapText="1"/>
    </xf>
    <xf numFmtId="4" fontId="60" fillId="0" borderId="1" xfId="0" applyNumberFormat="1" applyFont="1" applyFill="1" applyBorder="1" applyAlignment="1">
      <alignment horizontal="center" vertical="center" wrapText="1"/>
    </xf>
    <xf numFmtId="4" fontId="60" fillId="20" borderId="1" xfId="0" applyNumberFormat="1" applyFont="1" applyFill="1" applyBorder="1" applyAlignment="1">
      <alignment horizontal="center" vertical="center" wrapText="1"/>
    </xf>
    <xf numFmtId="173" fontId="38" fillId="0" borderId="1" xfId="0" applyNumberFormat="1" applyFont="1" applyFill="1" applyBorder="1" applyAlignment="1">
      <alignment horizontal="center" vertical="center"/>
    </xf>
    <xf numFmtId="0" fontId="38" fillId="2" borderId="1" xfId="0" applyFont="1" applyFill="1" applyBorder="1" applyAlignment="1">
      <alignment vertical="center" wrapText="1"/>
    </xf>
    <xf numFmtId="0" fontId="38" fillId="16" borderId="1" xfId="0" applyFont="1" applyFill="1" applyBorder="1" applyAlignment="1">
      <alignment horizontal="center" vertical="center" wrapText="1"/>
    </xf>
    <xf numFmtId="4" fontId="39" fillId="15" borderId="1" xfId="0" applyNumberFormat="1" applyFont="1" applyFill="1" applyBorder="1" applyAlignment="1">
      <alignment horizontal="center" vertical="center"/>
    </xf>
    <xf numFmtId="4" fontId="63" fillId="2" borderId="1" xfId="0" applyNumberFormat="1" applyFont="1" applyFill="1" applyBorder="1" applyAlignment="1">
      <alignment horizontal="center" vertical="center" wrapText="1"/>
    </xf>
    <xf numFmtId="0" fontId="12" fillId="0" borderId="0" xfId="0" applyFont="1" applyAlignment="1">
      <alignment horizontal="center"/>
    </xf>
    <xf numFmtId="172" fontId="0" fillId="0" borderId="14" xfId="0" applyNumberFormat="1" applyFont="1" applyFill="1" applyBorder="1"/>
    <xf numFmtId="172" fontId="12" fillId="0" borderId="15" xfId="0" applyNumberFormat="1" applyFont="1" applyFill="1" applyBorder="1"/>
    <xf numFmtId="172" fontId="0" fillId="11" borderId="23" xfId="0" applyNumberFormat="1" applyFont="1" applyFill="1" applyBorder="1"/>
    <xf numFmtId="172" fontId="0" fillId="11" borderId="24" xfId="0" applyNumberFormat="1" applyFont="1" applyFill="1" applyBorder="1"/>
    <xf numFmtId="172" fontId="12" fillId="11" borderId="26" xfId="0" applyNumberFormat="1" applyFont="1" applyFill="1" applyBorder="1"/>
    <xf numFmtId="0" fontId="12" fillId="0" borderId="0" xfId="0" applyFont="1" applyBorder="1" applyAlignment="1">
      <alignment horizontal="center" vertical="center" wrapText="1"/>
    </xf>
    <xf numFmtId="172" fontId="0" fillId="0" borderId="0" xfId="0" applyNumberFormat="1" applyFont="1" applyFill="1" applyBorder="1"/>
    <xf numFmtId="0" fontId="58" fillId="0" borderId="0" xfId="0" applyFont="1" applyBorder="1" applyAlignment="1">
      <alignment horizontal="center"/>
    </xf>
    <xf numFmtId="0" fontId="12" fillId="0" borderId="0" xfId="0" applyFont="1" applyFill="1" applyBorder="1" applyAlignment="1">
      <alignment horizontal="center" vertical="center" wrapText="1"/>
    </xf>
    <xf numFmtId="0" fontId="57" fillId="22" borderId="41" xfId="0" applyFont="1" applyFill="1" applyBorder="1" applyAlignment="1">
      <alignment horizontal="center"/>
    </xf>
    <xf numFmtId="0" fontId="12" fillId="14" borderId="30" xfId="0" applyFont="1" applyFill="1" applyBorder="1" applyAlignment="1">
      <alignment horizontal="center" vertical="center" wrapText="1"/>
    </xf>
    <xf numFmtId="0" fontId="0" fillId="0" borderId="30" xfId="0" applyFont="1" applyFill="1" applyBorder="1"/>
    <xf numFmtId="172" fontId="0" fillId="11" borderId="30" xfId="0" applyNumberFormat="1" applyFont="1" applyFill="1" applyBorder="1"/>
    <xf numFmtId="0" fontId="12" fillId="13" borderId="14" xfId="0" applyFont="1" applyFill="1" applyBorder="1" applyAlignment="1">
      <alignment horizontal="center" vertical="center" wrapText="1"/>
    </xf>
    <xf numFmtId="0" fontId="0" fillId="0" borderId="14" xfId="0" applyFont="1" applyFill="1" applyBorder="1"/>
    <xf numFmtId="172" fontId="0" fillId="0" borderId="15" xfId="0" applyNumberFormat="1" applyFont="1" applyFill="1" applyBorder="1"/>
    <xf numFmtId="172" fontId="0" fillId="11" borderId="26" xfId="0" applyNumberFormat="1" applyFont="1" applyFill="1" applyBorder="1"/>
    <xf numFmtId="0" fontId="0" fillId="0" borderId="29" xfId="0" applyFont="1" applyFill="1" applyBorder="1"/>
    <xf numFmtId="0" fontId="0" fillId="0" borderId="29" xfId="0" applyFont="1" applyFill="1" applyBorder="1" applyAlignment="1">
      <alignment vertical="center" wrapText="1"/>
    </xf>
    <xf numFmtId="0" fontId="0" fillId="0" borderId="29" xfId="0" applyFont="1" applyBorder="1"/>
    <xf numFmtId="4" fontId="0" fillId="0" borderId="23" xfId="0" applyNumberFormat="1" applyFont="1" applyBorder="1"/>
    <xf numFmtId="0" fontId="0" fillId="11" borderId="24" xfId="0" applyFont="1" applyFill="1" applyBorder="1"/>
    <xf numFmtId="4" fontId="0" fillId="11" borderId="24" xfId="0" applyNumberFormat="1" applyFont="1" applyFill="1" applyBorder="1"/>
    <xf numFmtId="0" fontId="39" fillId="15" borderId="60" xfId="0" applyFont="1" applyFill="1" applyBorder="1" applyAlignment="1">
      <alignment vertical="center" wrapText="1"/>
    </xf>
    <xf numFmtId="17" fontId="63" fillId="0" borderId="1" xfId="0" applyNumberFormat="1" applyFont="1" applyFill="1" applyBorder="1" applyAlignment="1">
      <alignment horizontal="center" vertical="center" wrapText="1"/>
    </xf>
    <xf numFmtId="17" fontId="66" fillId="2" borderId="0" xfId="0" applyNumberFormat="1" applyFont="1" applyFill="1" applyBorder="1" applyAlignment="1">
      <alignment horizontal="right" vertical="center"/>
    </xf>
    <xf numFmtId="0" fontId="38" fillId="9" borderId="0" xfId="0" applyFont="1" applyFill="1" applyAlignment="1">
      <alignment wrapText="1"/>
    </xf>
    <xf numFmtId="0" fontId="66" fillId="9" borderId="1" xfId="0" applyFont="1" applyFill="1" applyBorder="1" applyAlignment="1">
      <alignment horizontal="left" vertical="center" wrapText="1"/>
    </xf>
    <xf numFmtId="0" fontId="66" fillId="9" borderId="0" xfId="0" applyFont="1" applyFill="1" applyBorder="1" applyAlignment="1">
      <alignment horizontal="left" vertical="center" wrapText="1"/>
    </xf>
    <xf numFmtId="0" fontId="38" fillId="0" borderId="0" xfId="0" applyFont="1" applyFill="1" applyAlignment="1">
      <alignment wrapText="1"/>
    </xf>
    <xf numFmtId="173" fontId="68" fillId="15" borderId="1" xfId="0" applyNumberFormat="1" applyFont="1" applyFill="1" applyBorder="1" applyAlignment="1">
      <alignment horizontal="center" vertical="center"/>
    </xf>
    <xf numFmtId="173" fontId="68" fillId="18" borderId="60" xfId="0" applyNumberFormat="1" applyFont="1" applyFill="1" applyBorder="1" applyAlignment="1">
      <alignment horizontal="center" vertical="center"/>
    </xf>
    <xf numFmtId="173" fontId="68" fillId="18" borderId="1" xfId="0" applyNumberFormat="1" applyFont="1" applyFill="1" applyBorder="1" applyAlignment="1">
      <alignment horizontal="center" vertical="center"/>
    </xf>
    <xf numFmtId="0" fontId="63" fillId="16" borderId="1" xfId="0" applyFont="1" applyFill="1" applyBorder="1"/>
    <xf numFmtId="17" fontId="63" fillId="18" borderId="1" xfId="0" applyNumberFormat="1" applyFont="1" applyFill="1" applyBorder="1" applyAlignment="1">
      <alignment horizontal="center" vertical="center" wrapText="1"/>
    </xf>
    <xf numFmtId="0" fontId="63" fillId="0" borderId="1" xfId="0" applyFont="1" applyFill="1" applyBorder="1" applyAlignment="1">
      <alignment horizontal="center" vertical="center" wrapText="1"/>
    </xf>
    <xf numFmtId="17" fontId="63" fillId="2" borderId="1" xfId="0" applyNumberFormat="1" applyFont="1" applyFill="1" applyBorder="1" applyAlignment="1">
      <alignment horizontal="center" vertical="center" wrapText="1"/>
    </xf>
    <xf numFmtId="17" fontId="63" fillId="20" borderId="1" xfId="0" applyNumberFormat="1" applyFont="1" applyFill="1" applyBorder="1" applyAlignment="1">
      <alignment horizontal="center" vertical="center" wrapText="1"/>
    </xf>
    <xf numFmtId="0" fontId="63" fillId="18" borderId="1" xfId="0" applyFont="1" applyFill="1" applyBorder="1" applyAlignment="1">
      <alignment horizontal="center" vertical="center" wrapText="1"/>
    </xf>
    <xf numFmtId="0" fontId="53" fillId="15" borderId="1" xfId="0" applyFont="1" applyFill="1" applyBorder="1" applyAlignment="1">
      <alignment horizontal="center" vertical="center" wrapText="1"/>
    </xf>
    <xf numFmtId="17" fontId="63" fillId="0" borderId="1" xfId="0" applyNumberFormat="1" applyFont="1" applyFill="1" applyBorder="1" applyAlignment="1">
      <alignment horizontal="center" vertical="top" wrapText="1"/>
    </xf>
    <xf numFmtId="173" fontId="53" fillId="15" borderId="1" xfId="0" applyNumberFormat="1" applyFont="1" applyFill="1" applyBorder="1" applyAlignment="1">
      <alignment horizontal="center" vertical="center"/>
    </xf>
    <xf numFmtId="0" fontId="38" fillId="23" borderId="0" xfId="0" applyFont="1" applyFill="1"/>
    <xf numFmtId="172" fontId="63" fillId="2" borderId="1" xfId="0" applyNumberFormat="1" applyFont="1" applyFill="1" applyBorder="1" applyAlignment="1">
      <alignment horizontal="right" vertical="center"/>
    </xf>
    <xf numFmtId="172" fontId="38" fillId="0" borderId="0" xfId="0" applyNumberFormat="1" applyFont="1" applyFill="1" applyAlignment="1">
      <alignment horizontal="right" vertical="center"/>
    </xf>
    <xf numFmtId="173" fontId="60" fillId="2" borderId="1" xfId="0" applyNumberFormat="1" applyFont="1" applyFill="1" applyBorder="1" applyAlignment="1">
      <alignment horizontal="center" vertical="center"/>
    </xf>
    <xf numFmtId="0" fontId="38" fillId="2" borderId="1" xfId="0" applyFont="1" applyFill="1" applyBorder="1" applyAlignment="1">
      <alignment horizontal="center" vertical="center"/>
    </xf>
    <xf numFmtId="0" fontId="63" fillId="2" borderId="1" xfId="0" applyFont="1" applyFill="1" applyBorder="1" applyAlignment="1">
      <alignment horizontal="left" vertical="center" wrapText="1"/>
    </xf>
    <xf numFmtId="0" fontId="63" fillId="2" borderId="1" xfId="0" applyFont="1" applyFill="1" applyBorder="1" applyAlignment="1">
      <alignment horizontal="center" vertical="center" wrapText="1"/>
    </xf>
    <xf numFmtId="172" fontId="63" fillId="2" borderId="1" xfId="0" applyNumberFormat="1" applyFont="1" applyFill="1" applyBorder="1" applyAlignment="1">
      <alignment horizontal="right" vertical="center" wrapText="1"/>
    </xf>
    <xf numFmtId="173" fontId="38" fillId="2" borderId="60" xfId="0" applyNumberFormat="1" applyFont="1" applyFill="1" applyBorder="1" applyAlignment="1">
      <alignment horizontal="center" vertical="center"/>
    </xf>
    <xf numFmtId="0" fontId="63" fillId="2" borderId="56" xfId="0" applyFont="1" applyFill="1" applyBorder="1" applyAlignment="1">
      <alignment horizontal="left" vertical="center" wrapText="1"/>
    </xf>
    <xf numFmtId="173" fontId="60" fillId="2" borderId="60" xfId="0" applyNumberFormat="1" applyFont="1" applyFill="1" applyBorder="1" applyAlignment="1">
      <alignment horizontal="center" vertical="center"/>
    </xf>
    <xf numFmtId="0" fontId="38" fillId="4" borderId="0" xfId="0" applyFont="1" applyFill="1"/>
    <xf numFmtId="0" fontId="0" fillId="2" borderId="1" xfId="0" applyFill="1" applyBorder="1" applyAlignment="1">
      <alignment horizontal="justify" vertical="center" wrapText="1"/>
    </xf>
    <xf numFmtId="17" fontId="66" fillId="4" borderId="1" xfId="0" applyNumberFormat="1" applyFont="1" applyFill="1" applyBorder="1" applyAlignment="1">
      <alignment horizontal="right" vertical="center"/>
    </xf>
    <xf numFmtId="0" fontId="0" fillId="0" borderId="0" xfId="0" pivotButton="1"/>
    <xf numFmtId="0" fontId="0" fillId="0" borderId="0" xfId="0" applyNumberFormat="1"/>
    <xf numFmtId="172" fontId="63" fillId="0" borderId="1" xfId="0" applyNumberFormat="1" applyFont="1" applyFill="1" applyBorder="1" applyAlignment="1">
      <alignment horizontal="right" vertical="center" wrapText="1"/>
    </xf>
    <xf numFmtId="173" fontId="62" fillId="16" borderId="1" xfId="0" applyNumberFormat="1" applyFont="1" applyFill="1" applyBorder="1" applyAlignment="1">
      <alignment horizontal="center" vertical="center"/>
    </xf>
    <xf numFmtId="173" fontId="61" fillId="18" borderId="1" xfId="0" applyNumberFormat="1" applyFont="1" applyFill="1" applyBorder="1" applyAlignment="1">
      <alignment horizontal="center" vertical="center"/>
    </xf>
    <xf numFmtId="4" fontId="39" fillId="9" borderId="0" xfId="0" applyNumberFormat="1" applyFont="1" applyFill="1" applyBorder="1" applyAlignment="1">
      <alignment horizontal="center" vertical="center"/>
    </xf>
    <xf numFmtId="173" fontId="39" fillId="15" borderId="60" xfId="0" applyNumberFormat="1" applyFont="1" applyFill="1" applyBorder="1" applyAlignment="1">
      <alignment vertical="center" wrapText="1"/>
    </xf>
    <xf numFmtId="0" fontId="38" fillId="2" borderId="74" xfId="0" applyFont="1" applyFill="1" applyBorder="1"/>
    <xf numFmtId="0" fontId="39" fillId="2" borderId="1" xfId="0" applyFont="1" applyFill="1" applyBorder="1" applyAlignment="1">
      <alignment horizontal="center" vertical="center"/>
    </xf>
    <xf numFmtId="4" fontId="41" fillId="2" borderId="0" xfId="0" applyNumberFormat="1" applyFont="1" applyFill="1"/>
    <xf numFmtId="0" fontId="63" fillId="0" borderId="0" xfId="0" applyFont="1" applyFill="1"/>
    <xf numFmtId="172" fontId="60" fillId="20" borderId="1" xfId="0" applyNumberFormat="1" applyFont="1" applyFill="1" applyBorder="1" applyAlignment="1">
      <alignment vertical="center"/>
    </xf>
    <xf numFmtId="172" fontId="38" fillId="2" borderId="1" xfId="0" applyNumberFormat="1" applyFont="1" applyFill="1" applyBorder="1" applyAlignment="1">
      <alignment horizontal="right" vertical="center"/>
    </xf>
    <xf numFmtId="172" fontId="63" fillId="2" borderId="1" xfId="0" quotePrefix="1" applyNumberFormat="1" applyFont="1" applyFill="1" applyBorder="1" applyAlignment="1">
      <alignment horizontal="right" vertical="center" wrapText="1"/>
    </xf>
    <xf numFmtId="1" fontId="38" fillId="2" borderId="1" xfId="0" applyNumberFormat="1" applyFont="1" applyFill="1" applyBorder="1" applyAlignment="1">
      <alignment horizontal="center" vertical="center" wrapText="1"/>
    </xf>
    <xf numFmtId="172" fontId="38" fillId="2" borderId="1" xfId="0" applyNumberFormat="1" applyFont="1" applyFill="1" applyBorder="1" applyAlignment="1">
      <alignment vertical="center"/>
    </xf>
    <xf numFmtId="172" fontId="38" fillId="2" borderId="1" xfId="0" applyNumberFormat="1" applyFont="1" applyFill="1" applyBorder="1" applyAlignment="1">
      <alignment horizontal="center" vertical="center"/>
    </xf>
    <xf numFmtId="4" fontId="38" fillId="2" borderId="1" xfId="0" applyNumberFormat="1" applyFont="1" applyFill="1" applyBorder="1" applyAlignment="1">
      <alignment horizontal="center" vertical="center" wrapText="1"/>
    </xf>
    <xf numFmtId="9" fontId="38" fillId="2" borderId="1" xfId="0" applyNumberFormat="1" applyFont="1" applyFill="1" applyBorder="1" applyAlignment="1">
      <alignment horizontal="center" vertical="center" wrapText="1"/>
    </xf>
    <xf numFmtId="17" fontId="38" fillId="2" borderId="1" xfId="0" applyNumberFormat="1" applyFont="1" applyFill="1" applyBorder="1" applyAlignment="1">
      <alignment horizontal="center" vertical="center" wrapText="1"/>
    </xf>
    <xf numFmtId="0" fontId="38" fillId="2" borderId="1" xfId="0" applyFont="1" applyFill="1" applyBorder="1" applyAlignment="1">
      <alignment horizontal="center" vertical="center" wrapText="1"/>
    </xf>
    <xf numFmtId="172" fontId="69" fillId="2" borderId="1" xfId="0" applyNumberFormat="1" applyFont="1" applyFill="1" applyBorder="1" applyAlignment="1">
      <alignment horizontal="right" vertical="center"/>
    </xf>
    <xf numFmtId="172" fontId="63" fillId="2" borderId="1" xfId="0" quotePrefix="1" applyNumberFormat="1" applyFont="1" applyFill="1" applyBorder="1" applyAlignment="1">
      <alignment horizontal="center" vertical="center" wrapText="1"/>
    </xf>
    <xf numFmtId="173" fontId="63" fillId="2" borderId="1" xfId="0" applyNumberFormat="1" applyFont="1" applyFill="1" applyBorder="1" applyAlignment="1">
      <alignment horizontal="center" vertical="center"/>
    </xf>
    <xf numFmtId="172" fontId="63" fillId="2" borderId="1" xfId="0" applyNumberFormat="1" applyFont="1" applyFill="1" applyBorder="1" applyAlignment="1">
      <alignment vertical="center"/>
    </xf>
    <xf numFmtId="172" fontId="63" fillId="2" borderId="1" xfId="0" applyNumberFormat="1" applyFont="1" applyFill="1" applyBorder="1" applyAlignment="1">
      <alignment horizontal="center" vertical="center"/>
    </xf>
    <xf numFmtId="9" fontId="63" fillId="2" borderId="1" xfId="0" applyNumberFormat="1" applyFont="1" applyFill="1" applyBorder="1" applyAlignment="1">
      <alignment horizontal="center" vertical="center" wrapText="1"/>
    </xf>
    <xf numFmtId="0" fontId="60" fillId="2" borderId="1" xfId="0" applyFont="1" applyFill="1" applyBorder="1" applyAlignment="1">
      <alignment horizontal="left" vertical="top" wrapText="1"/>
    </xf>
    <xf numFmtId="172" fontId="53" fillId="2" borderId="1" xfId="0" applyNumberFormat="1" applyFont="1" applyFill="1" applyBorder="1" applyAlignment="1">
      <alignment horizontal="right" vertical="center" wrapText="1"/>
    </xf>
    <xf numFmtId="172" fontId="63" fillId="2" borderId="1" xfId="0" quotePrefix="1" applyNumberFormat="1" applyFont="1" applyFill="1" applyBorder="1" applyAlignment="1">
      <alignment horizontal="center" vertical="top" wrapText="1"/>
    </xf>
    <xf numFmtId="0" fontId="38" fillId="4" borderId="1" xfId="0" applyFont="1" applyFill="1" applyBorder="1" applyAlignment="1">
      <alignment horizontal="center" vertical="center"/>
    </xf>
    <xf numFmtId="0" fontId="38" fillId="4" borderId="60" xfId="0" applyFont="1" applyFill="1" applyBorder="1" applyAlignment="1">
      <alignment horizontal="center" vertical="center"/>
    </xf>
    <xf numFmtId="0" fontId="38" fillId="4" borderId="1" xfId="0" applyFont="1" applyFill="1" applyBorder="1" applyAlignment="1">
      <alignment vertical="center" wrapText="1"/>
    </xf>
    <xf numFmtId="172" fontId="38" fillId="4" borderId="60" xfId="0" applyNumberFormat="1" applyFont="1" applyFill="1" applyBorder="1" applyAlignment="1">
      <alignment horizontal="right" vertical="center"/>
    </xf>
    <xf numFmtId="172" fontId="63" fillId="4" borderId="60" xfId="0" quotePrefix="1" applyNumberFormat="1" applyFont="1" applyFill="1" applyBorder="1" applyAlignment="1">
      <alignment horizontal="right" vertical="center" wrapText="1"/>
    </xf>
    <xf numFmtId="172" fontId="60" fillId="4" borderId="60" xfId="0" applyNumberFormat="1" applyFont="1" applyFill="1" applyBorder="1" applyAlignment="1">
      <alignment horizontal="right" vertical="center"/>
    </xf>
    <xf numFmtId="173" fontId="38" fillId="4" borderId="60" xfId="0" applyNumberFormat="1" applyFont="1" applyFill="1" applyBorder="1" applyAlignment="1">
      <alignment horizontal="center" vertical="center"/>
    </xf>
    <xf numFmtId="1" fontId="38" fillId="4" borderId="60" xfId="0" applyNumberFormat="1" applyFont="1" applyFill="1" applyBorder="1" applyAlignment="1">
      <alignment horizontal="center" vertical="center" wrapText="1"/>
    </xf>
    <xf numFmtId="172" fontId="38" fillId="4" borderId="60" xfId="0" applyNumberFormat="1" applyFont="1" applyFill="1" applyBorder="1" applyAlignment="1">
      <alignment vertical="center"/>
    </xf>
    <xf numFmtId="172" fontId="38" fillId="4" borderId="60" xfId="0" applyNumberFormat="1" applyFont="1" applyFill="1" applyBorder="1" applyAlignment="1">
      <alignment horizontal="center" vertical="center"/>
    </xf>
    <xf numFmtId="4" fontId="63" fillId="4" borderId="1" xfId="0" applyNumberFormat="1" applyFont="1" applyFill="1" applyBorder="1" applyAlignment="1">
      <alignment horizontal="center" vertical="center" wrapText="1"/>
    </xf>
    <xf numFmtId="4" fontId="38" fillId="4" borderId="1" xfId="0" applyNumberFormat="1" applyFont="1" applyFill="1" applyBorder="1" applyAlignment="1">
      <alignment horizontal="center" vertical="center" wrapText="1"/>
    </xf>
    <xf numFmtId="9" fontId="38" fillId="4" borderId="1" xfId="0" applyNumberFormat="1" applyFont="1" applyFill="1" applyBorder="1" applyAlignment="1">
      <alignment horizontal="center" vertical="center" wrapText="1"/>
    </xf>
    <xf numFmtId="17" fontId="38" fillId="4" borderId="1" xfId="0" applyNumberFormat="1" applyFont="1" applyFill="1" applyBorder="1" applyAlignment="1">
      <alignment horizontal="center" vertical="center" wrapText="1"/>
    </xf>
    <xf numFmtId="17" fontId="63" fillId="4" borderId="1" xfId="0" applyNumberFormat="1" applyFont="1" applyFill="1" applyBorder="1" applyAlignment="1">
      <alignment horizontal="center" vertical="center" wrapText="1"/>
    </xf>
    <xf numFmtId="0" fontId="38" fillId="4" borderId="1" xfId="0" applyFont="1" applyFill="1" applyBorder="1" applyAlignment="1">
      <alignment horizontal="center" vertical="center" wrapText="1"/>
    </xf>
    <xf numFmtId="0" fontId="60" fillId="4" borderId="1" xfId="0" applyFont="1" applyFill="1" applyBorder="1" applyAlignment="1">
      <alignment horizontal="left" vertical="center" wrapText="1"/>
    </xf>
    <xf numFmtId="0" fontId="60" fillId="4" borderId="1" xfId="0" applyFont="1" applyFill="1" applyBorder="1" applyAlignment="1">
      <alignment horizontal="center" vertical="center"/>
    </xf>
    <xf numFmtId="172" fontId="69" fillId="4" borderId="1" xfId="0" applyNumberFormat="1" applyFont="1" applyFill="1" applyBorder="1" applyAlignment="1">
      <alignment horizontal="right" vertical="center"/>
    </xf>
    <xf numFmtId="172" fontId="63" fillId="4" borderId="1" xfId="0" applyNumberFormat="1" applyFont="1" applyFill="1" applyBorder="1" applyAlignment="1">
      <alignment horizontal="right" vertical="center"/>
    </xf>
    <xf numFmtId="172" fontId="63" fillId="4" borderId="1" xfId="0" quotePrefix="1" applyNumberFormat="1" applyFont="1" applyFill="1" applyBorder="1" applyAlignment="1">
      <alignment horizontal="right" vertical="center" wrapText="1"/>
    </xf>
    <xf numFmtId="1" fontId="60" fillId="4" borderId="1" xfId="0" applyNumberFormat="1" applyFont="1" applyFill="1" applyBorder="1" applyAlignment="1">
      <alignment horizontal="center" vertical="center" wrapText="1"/>
    </xf>
    <xf numFmtId="172" fontId="60" fillId="4" borderId="1" xfId="0" applyNumberFormat="1" applyFont="1" applyFill="1" applyBorder="1" applyAlignment="1">
      <alignment vertical="center"/>
    </xf>
    <xf numFmtId="172" fontId="60" fillId="4" borderId="1" xfId="0" applyNumberFormat="1" applyFont="1" applyFill="1" applyBorder="1" applyAlignment="1">
      <alignment horizontal="center" vertical="center"/>
    </xf>
    <xf numFmtId="4" fontId="60" fillId="4" borderId="1" xfId="0" applyNumberFormat="1" applyFont="1" applyFill="1" applyBorder="1" applyAlignment="1">
      <alignment horizontal="center" vertical="center" wrapText="1"/>
    </xf>
    <xf numFmtId="9" fontId="60" fillId="4" borderId="1" xfId="0" applyNumberFormat="1" applyFont="1" applyFill="1" applyBorder="1" applyAlignment="1">
      <alignment horizontal="center" vertical="center" wrapText="1"/>
    </xf>
    <xf numFmtId="0" fontId="2" fillId="0" borderId="39" xfId="0" applyFont="1" applyBorder="1" applyAlignment="1">
      <alignment vertical="center" wrapText="1"/>
    </xf>
    <xf numFmtId="0" fontId="2" fillId="0" borderId="40" xfId="0" applyFont="1" applyBorder="1" applyAlignment="1">
      <alignment vertical="center" wrapText="1"/>
    </xf>
    <xf numFmtId="0" fontId="2" fillId="0" borderId="41" xfId="0" applyFont="1" applyBorder="1" applyAlignment="1">
      <alignment vertical="center" wrapText="1"/>
    </xf>
    <xf numFmtId="0" fontId="2" fillId="0" borderId="33"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39" xfId="0" applyFont="1" applyBorder="1" applyAlignment="1">
      <alignment vertical="center"/>
    </xf>
    <xf numFmtId="0" fontId="2" fillId="0" borderId="40" xfId="0" applyFont="1" applyBorder="1" applyAlignment="1">
      <alignment vertical="center"/>
    </xf>
    <xf numFmtId="0" fontId="2" fillId="0" borderId="41" xfId="0" applyFont="1" applyBorder="1" applyAlignment="1">
      <alignment vertical="center"/>
    </xf>
    <xf numFmtId="0" fontId="2" fillId="0" borderId="55" xfId="0" applyFont="1" applyBorder="1" applyAlignment="1">
      <alignment vertical="center"/>
    </xf>
    <xf numFmtId="0" fontId="2" fillId="0" borderId="54" xfId="0" applyFont="1" applyBorder="1" applyAlignment="1">
      <alignment vertical="center"/>
    </xf>
    <xf numFmtId="0" fontId="2" fillId="0" borderId="53" xfId="0" applyFont="1" applyBorder="1" applyAlignment="1">
      <alignment vertical="center"/>
    </xf>
    <xf numFmtId="0" fontId="21" fillId="0" borderId="16" xfId="0" applyFont="1" applyBorder="1" applyAlignment="1">
      <alignment horizontal="left" vertical="center"/>
    </xf>
    <xf numFmtId="0" fontId="21" fillId="0" borderId="0" xfId="0" applyFont="1" applyBorder="1" applyAlignment="1">
      <alignment horizontal="left" vertical="center"/>
    </xf>
    <xf numFmtId="0" fontId="21" fillId="0" borderId="17" xfId="0" applyFont="1" applyBorder="1" applyAlignment="1">
      <alignment horizontal="left" vertical="center"/>
    </xf>
    <xf numFmtId="0" fontId="1" fillId="0" borderId="20" xfId="0" applyFont="1" applyBorder="1" applyAlignment="1">
      <alignment horizontal="left" vertical="center"/>
    </xf>
    <xf numFmtId="0" fontId="1" fillId="0" borderId="21" xfId="0" applyFont="1" applyBorder="1" applyAlignment="1">
      <alignment horizontal="left" vertical="center"/>
    </xf>
    <xf numFmtId="0" fontId="1" fillId="0" borderId="22" xfId="0" applyFont="1" applyBorder="1" applyAlignment="1">
      <alignment horizontal="left" vertical="center"/>
    </xf>
    <xf numFmtId="0" fontId="22" fillId="0" borderId="39" xfId="0" applyFont="1" applyBorder="1" applyAlignment="1">
      <alignment vertical="center" wrapText="1"/>
    </xf>
    <xf numFmtId="0" fontId="22" fillId="0" borderId="40" xfId="0" applyFont="1" applyBorder="1" applyAlignment="1">
      <alignment vertical="center" wrapText="1"/>
    </xf>
    <xf numFmtId="0" fontId="22" fillId="0" borderId="41" xfId="0" applyFont="1" applyBorder="1" applyAlignment="1">
      <alignment vertical="center" wrapText="1"/>
    </xf>
    <xf numFmtId="0" fontId="1" fillId="5" borderId="39" xfId="0" applyFont="1" applyFill="1" applyBorder="1" applyAlignment="1">
      <alignment vertical="center" wrapText="1"/>
    </xf>
    <xf numFmtId="0" fontId="1" fillId="5" borderId="41" xfId="0" applyFont="1" applyFill="1" applyBorder="1" applyAlignment="1">
      <alignment vertical="center" wrapText="1"/>
    </xf>
    <xf numFmtId="0" fontId="19" fillId="0" borderId="39" xfId="0" applyFont="1" applyBorder="1" applyAlignment="1">
      <alignment horizontal="center" vertical="center" wrapText="1"/>
    </xf>
    <xf numFmtId="0" fontId="19" fillId="0" borderId="41" xfId="0" applyFont="1" applyBorder="1" applyAlignment="1">
      <alignment horizontal="center" vertical="center" wrapText="1"/>
    </xf>
    <xf numFmtId="0" fontId="1" fillId="0" borderId="39" xfId="0" applyFont="1" applyBorder="1" applyAlignment="1">
      <alignment vertical="center" wrapText="1"/>
    </xf>
    <xf numFmtId="0" fontId="1" fillId="0" borderId="41" xfId="0" applyFont="1" applyBorder="1" applyAlignment="1">
      <alignment vertical="center" wrapText="1"/>
    </xf>
    <xf numFmtId="4" fontId="2" fillId="0" borderId="39" xfId="0" applyNumberFormat="1" applyFont="1" applyBorder="1" applyAlignment="1">
      <alignment vertical="center" wrapText="1"/>
    </xf>
    <xf numFmtId="4" fontId="2" fillId="0" borderId="41" xfId="0" applyNumberFormat="1" applyFont="1" applyBorder="1" applyAlignment="1">
      <alignment vertical="center" wrapText="1"/>
    </xf>
    <xf numFmtId="4" fontId="1" fillId="0" borderId="39" xfId="0" applyNumberFormat="1" applyFont="1" applyBorder="1" applyAlignment="1">
      <alignment vertical="center" wrapText="1"/>
    </xf>
    <xf numFmtId="4" fontId="1" fillId="0" borderId="41" xfId="0" applyNumberFormat="1" applyFont="1" applyBorder="1" applyAlignment="1">
      <alignment vertical="center" wrapText="1"/>
    </xf>
    <xf numFmtId="0" fontId="0" fillId="0" borderId="54" xfId="0" applyBorder="1" applyAlignment="1">
      <alignment wrapText="1"/>
    </xf>
    <xf numFmtId="0" fontId="1" fillId="0" borderId="55" xfId="0" applyFont="1" applyBorder="1" applyAlignment="1">
      <alignment horizontal="center" vertical="center" wrapText="1"/>
    </xf>
    <xf numFmtId="0" fontId="1" fillId="0" borderId="53"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55" xfId="0" applyFont="1" applyBorder="1" applyAlignment="1">
      <alignment vertical="center" wrapText="1"/>
    </xf>
    <xf numFmtId="0" fontId="1" fillId="0" borderId="54" xfId="0" applyFont="1" applyBorder="1" applyAlignment="1">
      <alignment vertical="center" wrapText="1"/>
    </xf>
    <xf numFmtId="0" fontId="1" fillId="0" borderId="53" xfId="0" applyFont="1" applyBorder="1" applyAlignment="1">
      <alignment vertical="center" wrapText="1"/>
    </xf>
    <xf numFmtId="0" fontId="1" fillId="0" borderId="20" xfId="0" applyFont="1" applyBorder="1" applyAlignment="1">
      <alignment vertical="center" wrapText="1"/>
    </xf>
    <xf numFmtId="0" fontId="1" fillId="0" borderId="21" xfId="0" applyFont="1" applyBorder="1" applyAlignment="1">
      <alignment vertical="center" wrapText="1"/>
    </xf>
    <xf numFmtId="0" fontId="1" fillId="0" borderId="22" xfId="0" applyFont="1" applyBorder="1" applyAlignment="1">
      <alignment vertical="center" wrapText="1"/>
    </xf>
    <xf numFmtId="0" fontId="1" fillId="0" borderId="54" xfId="0" applyFont="1" applyBorder="1" applyAlignment="1">
      <alignment horizontal="center" vertical="center" wrapText="1"/>
    </xf>
    <xf numFmtId="0" fontId="1" fillId="0" borderId="21" xfId="0" applyFont="1" applyBorder="1" applyAlignment="1">
      <alignment horizontal="center" vertical="center" wrapText="1"/>
    </xf>
    <xf numFmtId="4" fontId="1" fillId="0" borderId="39" xfId="0" applyNumberFormat="1" applyFont="1" applyBorder="1" applyAlignment="1">
      <alignment horizontal="center" vertical="center" wrapText="1"/>
    </xf>
    <xf numFmtId="4" fontId="1" fillId="0" borderId="41" xfId="0" applyNumberFormat="1" applyFont="1" applyBorder="1" applyAlignment="1">
      <alignment horizontal="center" vertical="center" wrapText="1"/>
    </xf>
    <xf numFmtId="0" fontId="32" fillId="0" borderId="11" xfId="0" applyFont="1" applyFill="1" applyBorder="1" applyAlignment="1">
      <alignment horizontal="center" vertical="center" wrapText="1"/>
    </xf>
    <xf numFmtId="0" fontId="32" fillId="0" borderId="24" xfId="0" applyFont="1" applyFill="1" applyBorder="1" applyAlignment="1">
      <alignment horizontal="center" vertical="center" wrapText="1"/>
    </xf>
    <xf numFmtId="0" fontId="32" fillId="0" borderId="11" xfId="0" applyFont="1" applyFill="1" applyBorder="1" applyAlignment="1">
      <alignment horizontal="center"/>
    </xf>
    <xf numFmtId="0" fontId="32" fillId="0" borderId="27" xfId="0" applyFont="1" applyFill="1" applyBorder="1" applyAlignment="1">
      <alignment horizontal="center"/>
    </xf>
    <xf numFmtId="0" fontId="32" fillId="0" borderId="48" xfId="0" applyFont="1" applyFill="1" applyBorder="1" applyAlignment="1">
      <alignment horizontal="center" vertical="center"/>
    </xf>
    <xf numFmtId="0" fontId="32" fillId="0" borderId="49" xfId="0" applyFont="1" applyFill="1" applyBorder="1" applyAlignment="1">
      <alignment horizontal="center" vertical="center"/>
    </xf>
    <xf numFmtId="0" fontId="32" fillId="0" borderId="69" xfId="0" applyFont="1" applyFill="1" applyBorder="1" applyAlignment="1">
      <alignment horizontal="center" vertical="center" wrapText="1"/>
    </xf>
    <xf numFmtId="0" fontId="32" fillId="0" borderId="61" xfId="0" applyFont="1" applyFill="1" applyBorder="1" applyAlignment="1">
      <alignment horizontal="center" vertical="center" wrapText="1"/>
    </xf>
    <xf numFmtId="0" fontId="32" fillId="0" borderId="68" xfId="0" applyFont="1" applyFill="1" applyBorder="1" applyAlignment="1">
      <alignment horizontal="center" vertical="center" wrapText="1"/>
    </xf>
    <xf numFmtId="0" fontId="32" fillId="0" borderId="60" xfId="0" applyFont="1" applyFill="1" applyBorder="1" applyAlignment="1">
      <alignment horizontal="center" vertical="center" wrapText="1"/>
    </xf>
    <xf numFmtId="0" fontId="32" fillId="0" borderId="10" xfId="0" applyFont="1" applyFill="1" applyBorder="1" applyAlignment="1">
      <alignment horizontal="center" vertical="center" wrapText="1"/>
    </xf>
    <xf numFmtId="0" fontId="32" fillId="0" borderId="23" xfId="0" applyFont="1" applyFill="1" applyBorder="1" applyAlignment="1">
      <alignment horizontal="center" vertical="center" wrapText="1"/>
    </xf>
    <xf numFmtId="0" fontId="32" fillId="0" borderId="28" xfId="0" applyFont="1" applyFill="1" applyBorder="1" applyAlignment="1">
      <alignment horizontal="center" vertical="center" wrapText="1"/>
    </xf>
    <xf numFmtId="0" fontId="32" fillId="0" borderId="47" xfId="0" applyFont="1" applyFill="1" applyBorder="1" applyAlignment="1">
      <alignment horizontal="center" vertical="center" wrapText="1"/>
    </xf>
    <xf numFmtId="0" fontId="32" fillId="0" borderId="46" xfId="0" applyFont="1" applyFill="1" applyBorder="1" applyAlignment="1">
      <alignment horizontal="center" vertical="center" wrapText="1"/>
    </xf>
    <xf numFmtId="0" fontId="32" fillId="0" borderId="67" xfId="0" applyFont="1" applyFill="1" applyBorder="1" applyAlignment="1">
      <alignment horizontal="center" vertical="center" wrapText="1"/>
    </xf>
    <xf numFmtId="0" fontId="32" fillId="0" borderId="57" xfId="0" applyFont="1" applyFill="1" applyBorder="1" applyAlignment="1">
      <alignment horizontal="center" vertical="center" wrapText="1"/>
    </xf>
    <xf numFmtId="0" fontId="32" fillId="0" borderId="56" xfId="0" applyFont="1" applyFill="1" applyBorder="1" applyAlignment="1">
      <alignment horizontal="center" vertical="center" wrapText="1"/>
    </xf>
    <xf numFmtId="0" fontId="32" fillId="0" borderId="29" xfId="0" applyFont="1" applyFill="1" applyBorder="1" applyAlignment="1">
      <alignment horizontal="center" vertical="center" wrapText="1"/>
    </xf>
    <xf numFmtId="0" fontId="32" fillId="0" borderId="30" xfId="0" applyFont="1" applyFill="1" applyBorder="1" applyAlignment="1">
      <alignment horizontal="center" vertical="center" wrapText="1"/>
    </xf>
    <xf numFmtId="0" fontId="2" fillId="12" borderId="1" xfId="0" applyFont="1" applyFill="1" applyBorder="1" applyAlignment="1">
      <alignment horizontal="center" vertical="center"/>
    </xf>
    <xf numFmtId="0" fontId="46" fillId="9" borderId="39" xfId="0" applyFont="1" applyFill="1" applyBorder="1" applyAlignment="1">
      <alignment horizontal="center" wrapText="1"/>
    </xf>
    <xf numFmtId="0" fontId="46" fillId="9" borderId="40" xfId="0" applyFont="1" applyFill="1" applyBorder="1" applyAlignment="1">
      <alignment horizontal="center" wrapText="1"/>
    </xf>
    <xf numFmtId="0" fontId="46" fillId="9" borderId="41" xfId="0" applyFont="1" applyFill="1" applyBorder="1" applyAlignment="1">
      <alignment horizontal="center" wrapText="1"/>
    </xf>
    <xf numFmtId="0" fontId="46" fillId="9" borderId="39" xfId="0" applyFont="1" applyFill="1" applyBorder="1" applyAlignment="1">
      <alignment horizontal="center"/>
    </xf>
    <xf numFmtId="0" fontId="46" fillId="9" borderId="40" xfId="0" applyFont="1" applyFill="1" applyBorder="1" applyAlignment="1">
      <alignment horizontal="center"/>
    </xf>
    <xf numFmtId="0" fontId="46" fillId="9" borderId="41" xfId="0" applyFont="1" applyFill="1" applyBorder="1" applyAlignment="1">
      <alignment horizontal="center"/>
    </xf>
    <xf numFmtId="0" fontId="2" fillId="12" borderId="1" xfId="0" applyFont="1" applyFill="1" applyBorder="1" applyAlignment="1">
      <alignment horizontal="center" vertical="center" wrapText="1"/>
    </xf>
    <xf numFmtId="0" fontId="2" fillId="12" borderId="29" xfId="0" applyFont="1" applyFill="1" applyBorder="1" applyAlignment="1">
      <alignment horizontal="center" vertical="center"/>
    </xf>
    <xf numFmtId="0" fontId="2" fillId="12" borderId="8" xfId="0" applyFont="1" applyFill="1" applyBorder="1" applyAlignment="1">
      <alignment horizontal="center" vertical="center"/>
    </xf>
    <xf numFmtId="0" fontId="2" fillId="12" borderId="30" xfId="0" applyFont="1" applyFill="1" applyBorder="1" applyAlignment="1">
      <alignment horizontal="center" vertical="center"/>
    </xf>
    <xf numFmtId="0" fontId="53" fillId="9" borderId="39" xfId="0" applyFont="1" applyFill="1" applyBorder="1" applyAlignment="1">
      <alignment horizontal="center" wrapText="1"/>
    </xf>
    <xf numFmtId="0" fontId="53" fillId="9" borderId="40" xfId="0" applyFont="1" applyFill="1" applyBorder="1" applyAlignment="1">
      <alignment horizontal="center" wrapText="1"/>
    </xf>
    <xf numFmtId="0" fontId="53" fillId="9" borderId="41" xfId="0" applyFont="1" applyFill="1" applyBorder="1" applyAlignment="1">
      <alignment horizontal="center" wrapText="1"/>
    </xf>
    <xf numFmtId="0" fontId="53" fillId="9" borderId="39" xfId="0" applyFont="1" applyFill="1" applyBorder="1" applyAlignment="1">
      <alignment horizontal="center"/>
    </xf>
    <xf numFmtId="0" fontId="53" fillId="9" borderId="40" xfId="0" applyFont="1" applyFill="1" applyBorder="1" applyAlignment="1">
      <alignment horizontal="center"/>
    </xf>
    <xf numFmtId="0" fontId="53" fillId="9" borderId="41" xfId="0" applyFont="1" applyFill="1" applyBorder="1" applyAlignment="1">
      <alignment horizontal="center"/>
    </xf>
    <xf numFmtId="0" fontId="18" fillId="9" borderId="39" xfId="0" applyFont="1" applyFill="1" applyBorder="1" applyAlignment="1">
      <alignment horizontal="center"/>
    </xf>
    <xf numFmtId="0" fontId="18" fillId="9" borderId="40" xfId="0" applyFont="1" applyFill="1" applyBorder="1" applyAlignment="1">
      <alignment horizontal="center"/>
    </xf>
    <xf numFmtId="0" fontId="18" fillId="9" borderId="41" xfId="0" applyFont="1" applyFill="1" applyBorder="1" applyAlignment="1">
      <alignment horizontal="center"/>
    </xf>
    <xf numFmtId="0" fontId="55" fillId="17" borderId="1" xfId="0" applyFont="1" applyFill="1" applyBorder="1" applyAlignment="1">
      <alignment horizontal="center" vertical="center" wrapText="1"/>
    </xf>
    <xf numFmtId="0" fontId="55" fillId="17" borderId="56" xfId="0" applyFont="1" applyFill="1" applyBorder="1" applyAlignment="1">
      <alignment horizontal="center" vertical="center" wrapText="1"/>
    </xf>
    <xf numFmtId="0" fontId="55" fillId="17" borderId="60" xfId="0" applyFont="1" applyFill="1" applyBorder="1" applyAlignment="1">
      <alignment horizontal="center" vertical="center" wrapText="1"/>
    </xf>
    <xf numFmtId="0" fontId="55" fillId="17" borderId="29" xfId="0" applyFont="1" applyFill="1" applyBorder="1" applyAlignment="1">
      <alignment horizontal="center" vertical="center"/>
    </xf>
    <xf numFmtId="0" fontId="55" fillId="17" borderId="8" xfId="0" applyFont="1" applyFill="1" applyBorder="1" applyAlignment="1">
      <alignment horizontal="center" vertical="center"/>
    </xf>
    <xf numFmtId="0" fontId="55" fillId="17" borderId="30" xfId="0" applyFont="1" applyFill="1" applyBorder="1" applyAlignment="1">
      <alignment horizontal="center" vertical="center"/>
    </xf>
    <xf numFmtId="0" fontId="55" fillId="17" borderId="1" xfId="0" applyFont="1" applyFill="1" applyBorder="1" applyAlignment="1">
      <alignment horizontal="center" vertical="center"/>
    </xf>
    <xf numFmtId="0" fontId="60" fillId="2" borderId="56" xfId="0" applyFont="1" applyFill="1" applyBorder="1" applyAlignment="1">
      <alignment horizontal="center" vertical="center" wrapText="1"/>
    </xf>
    <xf numFmtId="0" fontId="60" fillId="2" borderId="60" xfId="0" applyFont="1" applyFill="1" applyBorder="1" applyAlignment="1">
      <alignment horizontal="center" vertical="center" wrapText="1"/>
    </xf>
    <xf numFmtId="0" fontId="53" fillId="4" borderId="56" xfId="0" applyFont="1" applyFill="1" applyBorder="1" applyAlignment="1">
      <alignment horizontal="center" vertical="center" wrapText="1"/>
    </xf>
    <xf numFmtId="0" fontId="53" fillId="4" borderId="60" xfId="0" applyFont="1" applyFill="1" applyBorder="1" applyAlignment="1">
      <alignment horizontal="center" vertical="center" wrapText="1"/>
    </xf>
    <xf numFmtId="14" fontId="66" fillId="0" borderId="29" xfId="0" applyNumberFormat="1" applyFont="1" applyFill="1" applyBorder="1" applyAlignment="1">
      <alignment horizontal="left"/>
    </xf>
    <xf numFmtId="14" fontId="66" fillId="0" borderId="8" xfId="0" applyNumberFormat="1" applyFont="1" applyFill="1" applyBorder="1" applyAlignment="1">
      <alignment horizontal="left"/>
    </xf>
    <xf numFmtId="14" fontId="66" fillId="0" borderId="30" xfId="0" applyNumberFormat="1" applyFont="1" applyFill="1" applyBorder="1" applyAlignment="1">
      <alignment horizontal="left"/>
    </xf>
    <xf numFmtId="0" fontId="66" fillId="9" borderId="1" xfId="0" applyFont="1" applyFill="1" applyBorder="1" applyAlignment="1">
      <alignment horizontal="center"/>
    </xf>
    <xf numFmtId="0" fontId="65" fillId="9" borderId="39" xfId="0" applyFont="1" applyFill="1" applyBorder="1" applyAlignment="1">
      <alignment horizontal="center" wrapText="1"/>
    </xf>
    <xf numFmtId="0" fontId="65" fillId="9" borderId="40" xfId="0" applyFont="1" applyFill="1" applyBorder="1" applyAlignment="1">
      <alignment horizontal="center" wrapText="1"/>
    </xf>
    <xf numFmtId="0" fontId="65" fillId="9" borderId="41" xfId="0" applyFont="1" applyFill="1" applyBorder="1" applyAlignment="1">
      <alignment horizontal="center" wrapText="1"/>
    </xf>
    <xf numFmtId="0" fontId="64" fillId="9" borderId="39" xfId="0" applyFont="1" applyFill="1" applyBorder="1" applyAlignment="1">
      <alignment horizontal="center"/>
    </xf>
    <xf numFmtId="0" fontId="64" fillId="9" borderId="40" xfId="0" applyFont="1" applyFill="1" applyBorder="1" applyAlignment="1">
      <alignment horizontal="center"/>
    </xf>
    <xf numFmtId="0" fontId="64" fillId="9" borderId="41" xfId="0" applyFont="1" applyFill="1" applyBorder="1" applyAlignment="1">
      <alignment horizontal="center"/>
    </xf>
    <xf numFmtId="0" fontId="12" fillId="19" borderId="14" xfId="0" applyFont="1" applyFill="1" applyBorder="1" applyAlignment="1">
      <alignment horizontal="center" vertical="center" wrapText="1"/>
    </xf>
    <xf numFmtId="0" fontId="12" fillId="19" borderId="1" xfId="0" applyFont="1" applyFill="1" applyBorder="1" applyAlignment="1">
      <alignment horizontal="center" vertical="center" wrapText="1"/>
    </xf>
    <xf numFmtId="0" fontId="12" fillId="19" borderId="15" xfId="0" applyFont="1" applyFill="1" applyBorder="1" applyAlignment="1">
      <alignment horizontal="center" vertical="center" wrapText="1"/>
    </xf>
    <xf numFmtId="0" fontId="12" fillId="0" borderId="0" xfId="0" applyFont="1" applyAlignment="1">
      <alignment horizontal="center"/>
    </xf>
    <xf numFmtId="0" fontId="57" fillId="22" borderId="39" xfId="0" applyFont="1" applyFill="1" applyBorder="1" applyAlignment="1">
      <alignment horizontal="center"/>
    </xf>
    <xf numFmtId="0" fontId="57" fillId="22" borderId="40" xfId="0" applyFont="1" applyFill="1" applyBorder="1" applyAlignment="1">
      <alignment horizontal="center"/>
    </xf>
    <xf numFmtId="0" fontId="12" fillId="14" borderId="2" xfId="0" applyFont="1" applyFill="1" applyBorder="1" applyAlignment="1">
      <alignment horizontal="center" vertical="center" wrapText="1"/>
    </xf>
    <xf numFmtId="0" fontId="12" fillId="0" borderId="7" xfId="0" applyFont="1" applyBorder="1" applyAlignment="1">
      <alignment horizontal="center" vertical="center" wrapText="1"/>
    </xf>
    <xf numFmtId="0" fontId="12" fillId="14" borderId="60" xfId="0" applyFont="1" applyFill="1" applyBorder="1" applyAlignment="1">
      <alignment horizontal="center" vertical="center" wrapText="1"/>
    </xf>
    <xf numFmtId="0" fontId="12" fillId="0" borderId="1" xfId="0" applyFont="1" applyBorder="1" applyAlignment="1">
      <alignment horizontal="center" vertical="center" wrapText="1"/>
    </xf>
    <xf numFmtId="0" fontId="12" fillId="0" borderId="60" xfId="0" applyFont="1" applyBorder="1" applyAlignment="1">
      <alignment horizontal="center" vertical="center" wrapText="1"/>
    </xf>
    <xf numFmtId="0" fontId="12" fillId="13" borderId="2" xfId="0" applyFont="1" applyFill="1" applyBorder="1" applyAlignment="1">
      <alignment horizontal="center" vertical="center" wrapText="1"/>
    </xf>
    <xf numFmtId="0" fontId="12" fillId="13" borderId="70" xfId="0" applyFont="1" applyFill="1" applyBorder="1" applyAlignment="1">
      <alignment horizontal="center" vertical="center" wrapText="1"/>
    </xf>
    <xf numFmtId="0" fontId="12" fillId="0" borderId="59" xfId="0" applyFont="1" applyBorder="1" applyAlignment="1">
      <alignment horizontal="center" vertical="center" wrapText="1"/>
    </xf>
    <xf numFmtId="0" fontId="12" fillId="14" borderId="3" xfId="0" applyFont="1" applyFill="1" applyBorder="1" applyAlignment="1">
      <alignment horizontal="center" vertical="center" wrapText="1"/>
    </xf>
    <xf numFmtId="0" fontId="12" fillId="4" borderId="2" xfId="0" applyFont="1" applyFill="1" applyBorder="1" applyAlignment="1">
      <alignment horizontal="center"/>
    </xf>
    <xf numFmtId="0" fontId="12" fillId="4" borderId="7" xfId="0" applyFont="1" applyFill="1" applyBorder="1" applyAlignment="1">
      <alignment horizontal="center"/>
    </xf>
    <xf numFmtId="0" fontId="12" fillId="0" borderId="10" xfId="0" applyFont="1" applyBorder="1" applyAlignment="1">
      <alignment horizontal="center" wrapText="1"/>
    </xf>
    <xf numFmtId="0" fontId="12" fillId="0" borderId="11" xfId="0" applyFont="1" applyBorder="1" applyAlignment="1">
      <alignment horizontal="center" wrapText="1"/>
    </xf>
    <xf numFmtId="0" fontId="12" fillId="0" borderId="13" xfId="0" applyFont="1" applyBorder="1" applyAlignment="1">
      <alignment horizontal="center" wrapText="1"/>
    </xf>
    <xf numFmtId="0" fontId="58" fillId="22" borderId="40" xfId="0" applyFont="1" applyFill="1" applyBorder="1" applyAlignment="1">
      <alignment horizontal="center"/>
    </xf>
    <xf numFmtId="0" fontId="58" fillId="22" borderId="41" xfId="0" applyFont="1" applyFill="1" applyBorder="1" applyAlignment="1">
      <alignment horizontal="center"/>
    </xf>
    <xf numFmtId="0" fontId="56" fillId="0" borderId="39" xfId="0" applyFont="1" applyBorder="1" applyAlignment="1">
      <alignment horizontal="center"/>
    </xf>
    <xf numFmtId="0" fontId="56" fillId="0" borderId="40" xfId="0" applyFont="1" applyBorder="1" applyAlignment="1">
      <alignment horizontal="center"/>
    </xf>
    <xf numFmtId="0" fontId="56" fillId="0" borderId="41" xfId="0" applyFont="1" applyBorder="1" applyAlignment="1">
      <alignment horizontal="center"/>
    </xf>
    <xf numFmtId="0" fontId="12" fillId="4" borderId="69" xfId="0" applyFont="1" applyFill="1" applyBorder="1" applyAlignment="1">
      <alignment horizontal="center" vertical="center" wrapText="1"/>
    </xf>
    <xf numFmtId="0" fontId="12" fillId="4" borderId="61" xfId="0" applyFont="1" applyFill="1" applyBorder="1" applyAlignment="1">
      <alignment horizontal="center" vertical="center" wrapText="1"/>
    </xf>
    <xf numFmtId="0" fontId="12" fillId="4" borderId="2" xfId="0" applyFont="1" applyFill="1" applyBorder="1" applyAlignment="1">
      <alignment horizontal="center" vertical="center" wrapText="1"/>
    </xf>
    <xf numFmtId="0" fontId="12" fillId="4" borderId="7" xfId="0" applyFont="1" applyFill="1" applyBorder="1" applyAlignment="1">
      <alignment horizontal="center" vertical="center" wrapText="1"/>
    </xf>
    <xf numFmtId="0" fontId="12" fillId="4" borderId="70" xfId="0" applyFont="1" applyFill="1" applyBorder="1" applyAlignment="1">
      <alignment horizontal="center" vertical="center" wrapText="1"/>
    </xf>
    <xf numFmtId="0" fontId="12" fillId="4" borderId="59" xfId="0" applyFont="1" applyFill="1" applyBorder="1" applyAlignment="1">
      <alignment horizontal="center" vertical="center" wrapText="1"/>
    </xf>
    <xf numFmtId="0" fontId="12" fillId="13" borderId="64" xfId="0" applyFont="1" applyFill="1" applyBorder="1" applyAlignment="1">
      <alignment horizontal="center" vertical="center" wrapText="1"/>
    </xf>
    <xf numFmtId="0" fontId="12" fillId="0" borderId="56" xfId="0" applyFont="1" applyBorder="1" applyAlignment="1">
      <alignment horizontal="center" vertical="center"/>
    </xf>
    <xf numFmtId="0" fontId="12" fillId="0" borderId="60" xfId="0" applyFont="1" applyBorder="1" applyAlignment="1">
      <alignment horizontal="center" vertical="center"/>
    </xf>
    <xf numFmtId="0" fontId="12" fillId="0" borderId="1" xfId="0" applyFont="1" applyBorder="1" applyAlignment="1">
      <alignment horizontal="center" wrapText="1"/>
    </xf>
    <xf numFmtId="17" fontId="12" fillId="0" borderId="29" xfId="0" applyNumberFormat="1" applyFont="1" applyBorder="1" applyAlignment="1">
      <alignment horizontal="center"/>
    </xf>
    <xf numFmtId="17" fontId="12" fillId="0" borderId="30" xfId="0" applyNumberFormat="1" applyFont="1" applyBorder="1" applyAlignment="1">
      <alignment horizontal="center"/>
    </xf>
    <xf numFmtId="0" fontId="12" fillId="4" borderId="56" xfId="0" applyFont="1" applyFill="1" applyBorder="1" applyAlignment="1">
      <alignment horizontal="center" vertical="center" wrapText="1"/>
    </xf>
    <xf numFmtId="0" fontId="12" fillId="4" borderId="60" xfId="0" applyFont="1" applyFill="1" applyBorder="1" applyAlignment="1">
      <alignment horizontal="center" vertical="center" wrapText="1"/>
    </xf>
    <xf numFmtId="0" fontId="12" fillId="13" borderId="29" xfId="0" applyFont="1" applyFill="1" applyBorder="1" applyAlignment="1">
      <alignment horizontal="center" vertical="center" wrapText="1"/>
    </xf>
    <xf numFmtId="0" fontId="12" fillId="0" borderId="30" xfId="0" applyFont="1" applyBorder="1" applyAlignment="1">
      <alignment horizontal="center" vertical="center" wrapText="1"/>
    </xf>
    <xf numFmtId="0" fontId="56" fillId="0" borderId="0" xfId="0" applyFont="1" applyAlignment="1">
      <alignment horizontal="center"/>
    </xf>
    <xf numFmtId="0" fontId="57" fillId="0" borderId="0" xfId="0" applyFont="1" applyAlignment="1">
      <alignment horizontal="center"/>
    </xf>
    <xf numFmtId="0" fontId="58" fillId="0" borderId="0" xfId="0" applyFont="1" applyAlignment="1">
      <alignment horizontal="center"/>
    </xf>
    <xf numFmtId="0" fontId="12" fillId="4" borderId="29" xfId="0" applyFont="1" applyFill="1" applyBorder="1" applyAlignment="1">
      <alignment horizontal="center"/>
    </xf>
    <xf numFmtId="0" fontId="12" fillId="4" borderId="30" xfId="0" applyFont="1" applyFill="1" applyBorder="1" applyAlignment="1">
      <alignment horizontal="center"/>
    </xf>
    <xf numFmtId="0" fontId="12" fillId="4" borderId="29" xfId="0" applyFont="1" applyFill="1" applyBorder="1" applyAlignment="1">
      <alignment horizontal="center" vertical="center" wrapText="1"/>
    </xf>
    <xf numFmtId="0" fontId="12" fillId="4" borderId="30" xfId="0" applyFont="1" applyFill="1" applyBorder="1" applyAlignment="1">
      <alignment horizontal="center" vertical="center" wrapText="1"/>
    </xf>
    <xf numFmtId="0" fontId="12" fillId="14" borderId="29" xfId="0" applyFont="1" applyFill="1" applyBorder="1" applyAlignment="1">
      <alignment horizontal="center" vertical="center" wrapText="1"/>
    </xf>
    <xf numFmtId="0" fontId="12" fillId="13" borderId="56" xfId="0" applyFont="1" applyFill="1" applyBorder="1" applyAlignment="1">
      <alignment horizontal="center" vertical="center" wrapText="1"/>
    </xf>
    <xf numFmtId="0" fontId="12" fillId="19" borderId="56" xfId="0" applyFont="1" applyFill="1" applyBorder="1" applyAlignment="1">
      <alignment horizontal="center" vertical="center" wrapText="1"/>
    </xf>
    <xf numFmtId="0" fontId="12" fillId="19" borderId="60" xfId="0" applyFont="1" applyFill="1" applyBorder="1" applyAlignment="1">
      <alignment horizontal="center" vertical="center" wrapText="1"/>
    </xf>
    <xf numFmtId="0" fontId="12" fillId="14" borderId="56" xfId="0" applyFont="1" applyFill="1" applyBorder="1" applyAlignment="1">
      <alignment horizontal="center" vertical="center" wrapText="1"/>
    </xf>
    <xf numFmtId="0" fontId="18" fillId="0" borderId="0" xfId="0" applyFont="1" applyAlignment="1">
      <alignment horizontal="center"/>
    </xf>
    <xf numFmtId="0" fontId="12" fillId="0" borderId="35" xfId="0" applyFont="1" applyBorder="1" applyAlignment="1">
      <alignment horizontal="center"/>
    </xf>
    <xf numFmtId="0" fontId="12" fillId="0" borderId="73" xfId="0" applyFont="1" applyBorder="1" applyAlignment="1">
      <alignment horizontal="center"/>
    </xf>
    <xf numFmtId="0" fontId="18" fillId="0" borderId="21" xfId="0" applyFont="1" applyBorder="1" applyAlignment="1">
      <alignment horizontal="center"/>
    </xf>
    <xf numFmtId="0" fontId="2" fillId="2" borderId="10"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2" fillId="2" borderId="35"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2" fillId="2" borderId="27" xfId="0" applyFont="1" applyFill="1" applyBorder="1" applyAlignment="1">
      <alignment horizontal="center" vertical="center"/>
    </xf>
    <xf numFmtId="0" fontId="2" fillId="2" borderId="42" xfId="0" applyFont="1" applyFill="1" applyBorder="1" applyAlignment="1">
      <alignment horizontal="center" vertical="center"/>
    </xf>
    <xf numFmtId="0" fontId="2" fillId="2" borderId="56" xfId="0" applyFont="1" applyFill="1" applyBorder="1" applyAlignment="1">
      <alignment horizontal="center" vertical="center" wrapText="1"/>
    </xf>
    <xf numFmtId="0" fontId="2" fillId="2" borderId="60" xfId="0" applyFont="1" applyFill="1" applyBorder="1" applyAlignment="1">
      <alignment horizontal="center" vertical="center"/>
    </xf>
    <xf numFmtId="0" fontId="2" fillId="2" borderId="42" xfId="0" applyFont="1" applyFill="1" applyBorder="1" applyAlignment="1">
      <alignment horizontal="center" vertical="center" wrapText="1"/>
    </xf>
    <xf numFmtId="0" fontId="2" fillId="2" borderId="52"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0" fillId="2" borderId="25" xfId="0" applyFont="1" applyFill="1" applyBorder="1" applyAlignment="1">
      <alignment horizontal="center" vertical="center" wrapText="1"/>
    </xf>
    <xf numFmtId="0" fontId="10" fillId="9" borderId="1" xfId="0" applyFont="1" applyFill="1" applyBorder="1" applyAlignment="1">
      <alignment horizontal="center" vertical="center" wrapText="1"/>
    </xf>
    <xf numFmtId="0" fontId="10" fillId="9" borderId="4" xfId="0" applyFont="1" applyFill="1" applyBorder="1" applyAlignment="1">
      <alignment horizontal="center" vertical="center" wrapText="1"/>
    </xf>
    <xf numFmtId="0" fontId="10" fillId="9" borderId="5" xfId="0" applyFont="1" applyFill="1" applyBorder="1" applyAlignment="1">
      <alignment horizontal="center" vertical="center" wrapText="1"/>
    </xf>
    <xf numFmtId="0" fontId="10" fillId="9" borderId="6" xfId="0" applyFont="1" applyFill="1" applyBorder="1" applyAlignment="1">
      <alignment horizontal="center" vertical="center" wrapText="1"/>
    </xf>
    <xf numFmtId="0" fontId="10" fillId="9" borderId="2" xfId="0" applyFont="1" applyFill="1" applyBorder="1" applyAlignment="1">
      <alignment horizontal="center" vertical="center" wrapText="1"/>
    </xf>
    <xf numFmtId="0" fontId="10" fillId="9" borderId="3" xfId="0" applyFont="1" applyFill="1" applyBorder="1" applyAlignment="1">
      <alignment horizontal="center" vertical="center" wrapText="1"/>
    </xf>
    <xf numFmtId="0" fontId="10" fillId="9" borderId="7" xfId="0" applyFont="1" applyFill="1" applyBorder="1" applyAlignment="1">
      <alignment horizontal="center" vertical="center" wrapText="1"/>
    </xf>
    <xf numFmtId="0" fontId="2" fillId="9" borderId="10" xfId="0" applyFont="1" applyFill="1" applyBorder="1" applyAlignment="1">
      <alignment horizontal="center" vertical="center" wrapText="1"/>
    </xf>
    <xf numFmtId="0" fontId="2" fillId="9" borderId="23" xfId="0" applyFont="1" applyFill="1" applyBorder="1" applyAlignment="1">
      <alignment horizontal="center" vertical="center" wrapText="1"/>
    </xf>
    <xf numFmtId="0" fontId="39" fillId="0" borderId="48" xfId="0" applyFont="1" applyFill="1" applyBorder="1" applyAlignment="1">
      <alignment horizontal="center" vertical="center" wrapText="1"/>
    </xf>
    <xf numFmtId="0" fontId="39" fillId="0" borderId="49" xfId="0" applyFont="1" applyFill="1" applyBorder="1" applyAlignment="1">
      <alignment horizontal="center" vertical="center" wrapText="1"/>
    </xf>
    <xf numFmtId="0" fontId="23" fillId="9" borderId="33" xfId="0" applyFont="1" applyFill="1" applyBorder="1" applyAlignment="1">
      <alignment horizontal="center" vertical="center" wrapText="1"/>
    </xf>
    <xf numFmtId="0" fontId="23" fillId="9" borderId="32" xfId="0" applyFont="1" applyFill="1" applyBorder="1" applyAlignment="1">
      <alignment horizontal="center" vertical="center" wrapText="1"/>
    </xf>
    <xf numFmtId="0" fontId="2" fillId="9" borderId="39" xfId="0" applyFont="1" applyFill="1" applyBorder="1" applyAlignment="1">
      <alignment horizontal="center" vertical="center"/>
    </xf>
    <xf numFmtId="0" fontId="2" fillId="9" borderId="40" xfId="0" applyFont="1" applyFill="1" applyBorder="1" applyAlignment="1">
      <alignment horizontal="center" vertical="center"/>
    </xf>
    <xf numFmtId="0" fontId="2" fillId="9" borderId="55" xfId="0" applyFont="1" applyFill="1" applyBorder="1" applyAlignment="1">
      <alignment horizontal="center" vertical="center"/>
    </xf>
    <xf numFmtId="0" fontId="2" fillId="9" borderId="54" xfId="0" applyFont="1" applyFill="1" applyBorder="1" applyAlignment="1">
      <alignment horizontal="center" vertical="center"/>
    </xf>
    <xf numFmtId="0" fontId="31" fillId="9" borderId="53" xfId="0" applyFont="1" applyFill="1" applyBorder="1" applyAlignment="1">
      <alignment horizontal="center" vertical="center"/>
    </xf>
    <xf numFmtId="0" fontId="2" fillId="2" borderId="44" xfId="0" applyFont="1" applyFill="1" applyBorder="1" applyAlignment="1">
      <alignment horizontal="center" vertical="center" wrapText="1"/>
    </xf>
    <xf numFmtId="0" fontId="0" fillId="2" borderId="45" xfId="0" applyFont="1" applyFill="1" applyBorder="1" applyAlignment="1">
      <alignment horizontal="center" vertical="center" wrapText="1"/>
    </xf>
    <xf numFmtId="0" fontId="2" fillId="2" borderId="35" xfId="0" applyFont="1" applyFill="1" applyBorder="1" applyAlignment="1">
      <alignment horizontal="center" vertical="center"/>
    </xf>
    <xf numFmtId="0" fontId="0" fillId="2" borderId="43"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26" xfId="0" applyFont="1" applyFill="1" applyBorder="1" applyAlignment="1">
      <alignment horizontal="center" vertical="center"/>
    </xf>
  </cellXfs>
  <cellStyles count="5">
    <cellStyle name="Millares" xfId="3" builtinId="3"/>
    <cellStyle name="Moneda" xfId="2" builtinId="4"/>
    <cellStyle name="Normal" xfId="0" builtinId="0"/>
    <cellStyle name="Normal 4" xfId="4"/>
    <cellStyle name="Porcentaje" xfId="1" builtinId="5"/>
  </cellStyles>
  <dxfs count="17">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s>
  <tableStyles count="0" defaultTableStyle="TableStyleMedium2" defaultPivotStyle="PivotStyleLight16"/>
  <colors>
    <mruColors>
      <color rgb="FFECF3FA"/>
      <color rgb="FFF4F2A0"/>
      <color rgb="FF97F397"/>
      <color rgb="FF2980FF"/>
      <color rgb="FFDAE9F6"/>
      <color rgb="FFB6D2EC"/>
      <color rgb="FF76AB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pivotCacheDefinition" Target="pivotCache/pivotCacheDefinition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68035</xdr:colOff>
      <xdr:row>0</xdr:row>
      <xdr:rowOff>0</xdr:rowOff>
    </xdr:from>
    <xdr:to>
      <xdr:col>3</xdr:col>
      <xdr:colOff>478133</xdr:colOff>
      <xdr:row>5</xdr:row>
      <xdr:rowOff>82645</xdr:rowOff>
    </xdr:to>
    <xdr:pic>
      <xdr:nvPicPr>
        <xdr:cNvPr id="3" name="Image 5">
          <a:extLst>
            <a:ext uri="{FF2B5EF4-FFF2-40B4-BE49-F238E27FC236}">
              <a16:creationId xmlns:a16="http://schemas.microsoft.com/office/drawing/2014/main" xmlns="" id="{00000000-0008-0000-03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l="6195" r="7343"/>
        <a:stretch>
          <a:fillRect/>
        </a:stretch>
      </xdr:blipFill>
      <xdr:spPr bwMode="auto">
        <a:xfrm>
          <a:off x="707571" y="0"/>
          <a:ext cx="1729991" cy="1035145"/>
        </a:xfrm>
        <a:prstGeom prst="rect">
          <a:avLst/>
        </a:prstGeom>
        <a:solidFill>
          <a:srgbClr val="FFFFFF"/>
        </a:solidFill>
        <a:ln>
          <a:noFill/>
        </a:ln>
      </xdr:spPr>
    </xdr:pic>
    <xdr:clientData/>
  </xdr:twoCellAnchor>
  <xdr:twoCellAnchor editAs="oneCell">
    <xdr:from>
      <xdr:col>9</xdr:col>
      <xdr:colOff>54428</xdr:colOff>
      <xdr:row>0</xdr:row>
      <xdr:rowOff>0</xdr:rowOff>
    </xdr:from>
    <xdr:to>
      <xdr:col>10</xdr:col>
      <xdr:colOff>942451</xdr:colOff>
      <xdr:row>5</xdr:row>
      <xdr:rowOff>86409</xdr:rowOff>
    </xdr:to>
    <xdr:pic>
      <xdr:nvPicPr>
        <xdr:cNvPr id="4" name="Image 6">
          <a:extLst>
            <a:ext uri="{FF2B5EF4-FFF2-40B4-BE49-F238E27FC236}">
              <a16:creationId xmlns:a16="http://schemas.microsoft.com/office/drawing/2014/main" xmlns="" id="{00000000-0008-0000-03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65821" y="0"/>
          <a:ext cx="1796677" cy="1038909"/>
        </a:xfrm>
        <a:prstGeom prst="rect">
          <a:avLst/>
        </a:prstGeom>
        <a:solidFill>
          <a:srgbClr val="FFFFFF"/>
        </a:solidFill>
        <a:ln>
          <a:noFill/>
        </a:ln>
      </xdr:spPr>
    </xdr:pic>
    <xdr:clientData/>
  </xdr:twoCellAnchor>
  <xdr:twoCellAnchor editAs="oneCell">
    <xdr:from>
      <xdr:col>16</xdr:col>
      <xdr:colOff>0</xdr:colOff>
      <xdr:row>0</xdr:row>
      <xdr:rowOff>95249</xdr:rowOff>
    </xdr:from>
    <xdr:to>
      <xdr:col>18</xdr:col>
      <xdr:colOff>648619</xdr:colOff>
      <xdr:row>4</xdr:row>
      <xdr:rowOff>148818</xdr:rowOff>
    </xdr:to>
    <xdr:pic>
      <xdr:nvPicPr>
        <xdr:cNvPr id="5" name="Picture 10">
          <a:extLst>
            <a:ext uri="{FF2B5EF4-FFF2-40B4-BE49-F238E27FC236}">
              <a16:creationId xmlns:a16="http://schemas.microsoft.com/office/drawing/2014/main" xmlns="" id="{00000000-0008-0000-0300-000005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5185571" y="95249"/>
          <a:ext cx="2729000" cy="81556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68034</xdr:colOff>
      <xdr:row>0</xdr:row>
      <xdr:rowOff>0</xdr:rowOff>
    </xdr:from>
    <xdr:to>
      <xdr:col>3</xdr:col>
      <xdr:colOff>1095374</xdr:colOff>
      <xdr:row>3</xdr:row>
      <xdr:rowOff>142875</xdr:rowOff>
    </xdr:to>
    <xdr:pic>
      <xdr:nvPicPr>
        <xdr:cNvPr id="2" name="Image 5">
          <a:extLst>
            <a:ext uri="{FF2B5EF4-FFF2-40B4-BE49-F238E27FC236}">
              <a16:creationId xmlns:a16="http://schemas.microsoft.com/office/drawing/2014/main" xmlns="" id="{00000000-0008-0000-04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l="6195" r="7343"/>
        <a:stretch>
          <a:fillRect/>
        </a:stretch>
      </xdr:blipFill>
      <xdr:spPr bwMode="auto">
        <a:xfrm>
          <a:off x="763359" y="0"/>
          <a:ext cx="1817915" cy="714375"/>
        </a:xfrm>
        <a:prstGeom prst="rect">
          <a:avLst/>
        </a:prstGeom>
        <a:solidFill>
          <a:srgbClr val="FFFFFF"/>
        </a:solidFill>
        <a:ln>
          <a:noFill/>
        </a:ln>
      </xdr:spPr>
    </xdr:pic>
    <xdr:clientData/>
  </xdr:twoCellAnchor>
  <xdr:twoCellAnchor editAs="oneCell">
    <xdr:from>
      <xdr:col>10</xdr:col>
      <xdr:colOff>54428</xdr:colOff>
      <xdr:row>0</xdr:row>
      <xdr:rowOff>0</xdr:rowOff>
    </xdr:from>
    <xdr:to>
      <xdr:col>12</xdr:col>
      <xdr:colOff>83344</xdr:colOff>
      <xdr:row>4</xdr:row>
      <xdr:rowOff>0</xdr:rowOff>
    </xdr:to>
    <xdr:pic>
      <xdr:nvPicPr>
        <xdr:cNvPr id="3" name="Image 6">
          <a:extLst>
            <a:ext uri="{FF2B5EF4-FFF2-40B4-BE49-F238E27FC236}">
              <a16:creationId xmlns:a16="http://schemas.microsoft.com/office/drawing/2014/main" xmlns="" id="{00000000-0008-0000-0400-000003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570278" y="0"/>
          <a:ext cx="1857716" cy="752475"/>
        </a:xfrm>
        <a:prstGeom prst="rect">
          <a:avLst/>
        </a:prstGeom>
        <a:solidFill>
          <a:srgbClr val="FFFFFF"/>
        </a:solidFill>
        <a:ln>
          <a:noFill/>
        </a:ln>
      </xdr:spPr>
    </xdr:pic>
    <xdr:clientData/>
  </xdr:twoCellAnchor>
  <xdr:twoCellAnchor editAs="oneCell">
    <xdr:from>
      <xdr:col>16</xdr:col>
      <xdr:colOff>1047750</xdr:colOff>
      <xdr:row>0</xdr:row>
      <xdr:rowOff>0</xdr:rowOff>
    </xdr:from>
    <xdr:to>
      <xdr:col>24</xdr:col>
      <xdr:colOff>734344</xdr:colOff>
      <xdr:row>4</xdr:row>
      <xdr:rowOff>53569</xdr:rowOff>
    </xdr:to>
    <xdr:pic>
      <xdr:nvPicPr>
        <xdr:cNvPr id="4" name="Picture 10">
          <a:extLst>
            <a:ext uri="{FF2B5EF4-FFF2-40B4-BE49-F238E27FC236}">
              <a16:creationId xmlns:a16="http://schemas.microsoft.com/office/drawing/2014/main" xmlns="" id="{00000000-0008-0000-04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9764375" y="0"/>
          <a:ext cx="2734594" cy="815569"/>
        </a:xfrm>
        <a:prstGeom prst="rect">
          <a:avLst/>
        </a:prstGeom>
      </xdr:spPr>
    </xdr:pic>
    <xdr:clientData/>
  </xdr:twoCellAnchor>
  <xdr:oneCellAnchor>
    <xdr:from>
      <xdr:col>3</xdr:col>
      <xdr:colOff>3948112</xdr:colOff>
      <xdr:row>40</xdr:row>
      <xdr:rowOff>328612</xdr:rowOff>
    </xdr:from>
    <xdr:ext cx="65" cy="172227"/>
    <xdr:sp macro="" textlink="">
      <xdr:nvSpPr>
        <xdr:cNvPr id="5" name="CuadroTexto 4">
          <a:extLst>
            <a:ext uri="{FF2B5EF4-FFF2-40B4-BE49-F238E27FC236}">
              <a16:creationId xmlns:a16="http://schemas.microsoft.com/office/drawing/2014/main" xmlns="" id="{00000000-0008-0000-0400-000005000000}"/>
            </a:ext>
          </a:extLst>
        </xdr:cNvPr>
        <xdr:cNvSpPr txBox="1"/>
      </xdr:nvSpPr>
      <xdr:spPr>
        <a:xfrm>
          <a:off x="5434012" y="23226712"/>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s-EC" sz="1100"/>
        </a:p>
      </xdr:txBody>
    </xdr:sp>
    <xdr:clientData/>
  </xdr:oneCellAnchor>
  <xdr:oneCellAnchor>
    <xdr:from>
      <xdr:col>3</xdr:col>
      <xdr:colOff>3948112</xdr:colOff>
      <xdr:row>34</xdr:row>
      <xdr:rowOff>0</xdr:rowOff>
    </xdr:from>
    <xdr:ext cx="65" cy="172227"/>
    <xdr:sp macro="" textlink="">
      <xdr:nvSpPr>
        <xdr:cNvPr id="6" name="CuadroTexto 5">
          <a:extLst>
            <a:ext uri="{FF2B5EF4-FFF2-40B4-BE49-F238E27FC236}">
              <a16:creationId xmlns:a16="http://schemas.microsoft.com/office/drawing/2014/main" xmlns="" id="{00000000-0008-0000-0400-000006000000}"/>
            </a:ext>
          </a:extLst>
        </xdr:cNvPr>
        <xdr:cNvSpPr txBox="1"/>
      </xdr:nvSpPr>
      <xdr:spPr>
        <a:xfrm>
          <a:off x="5434012" y="17764125"/>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s-EC" sz="1100"/>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2</xdr:col>
      <xdr:colOff>68034</xdr:colOff>
      <xdr:row>0</xdr:row>
      <xdr:rowOff>0</xdr:rowOff>
    </xdr:from>
    <xdr:to>
      <xdr:col>3</xdr:col>
      <xdr:colOff>898401</xdr:colOff>
      <xdr:row>4</xdr:row>
      <xdr:rowOff>66675</xdr:rowOff>
    </xdr:to>
    <xdr:pic>
      <xdr:nvPicPr>
        <xdr:cNvPr id="2" name="Image 5">
          <a:extLst>
            <a:ext uri="{FF2B5EF4-FFF2-40B4-BE49-F238E27FC236}">
              <a16:creationId xmlns:a16="http://schemas.microsoft.com/office/drawing/2014/main" xmlns="" id="{00000000-0008-0000-05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l="6195" r="7343"/>
        <a:stretch>
          <a:fillRect/>
        </a:stretch>
      </xdr:blipFill>
      <xdr:spPr bwMode="auto">
        <a:xfrm>
          <a:off x="991959" y="0"/>
          <a:ext cx="1817915" cy="714375"/>
        </a:xfrm>
        <a:prstGeom prst="rect">
          <a:avLst/>
        </a:prstGeom>
        <a:solidFill>
          <a:srgbClr val="FFFFFF"/>
        </a:solidFill>
        <a:ln>
          <a:noFill/>
        </a:ln>
      </xdr:spPr>
    </xdr:pic>
    <xdr:clientData/>
  </xdr:twoCellAnchor>
  <xdr:twoCellAnchor editAs="oneCell">
    <xdr:from>
      <xdr:col>13</xdr:col>
      <xdr:colOff>54428</xdr:colOff>
      <xdr:row>0</xdr:row>
      <xdr:rowOff>0</xdr:rowOff>
    </xdr:from>
    <xdr:to>
      <xdr:col>14</xdr:col>
      <xdr:colOff>795558</xdr:colOff>
      <xdr:row>4</xdr:row>
      <xdr:rowOff>104775</xdr:rowOff>
    </xdr:to>
    <xdr:pic>
      <xdr:nvPicPr>
        <xdr:cNvPr id="3" name="Image 6">
          <a:extLst>
            <a:ext uri="{FF2B5EF4-FFF2-40B4-BE49-F238E27FC236}">
              <a16:creationId xmlns:a16="http://schemas.microsoft.com/office/drawing/2014/main" xmlns="" id="{00000000-0008-0000-0500-000003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084753" y="0"/>
          <a:ext cx="1850572" cy="752475"/>
        </a:xfrm>
        <a:prstGeom prst="rect">
          <a:avLst/>
        </a:prstGeom>
        <a:solidFill>
          <a:srgbClr val="FFFFFF"/>
        </a:solidFill>
        <a:ln>
          <a:noFill/>
        </a:ln>
      </xdr:spPr>
    </xdr:pic>
    <xdr:clientData/>
  </xdr:twoCellAnchor>
  <xdr:twoCellAnchor editAs="oneCell">
    <xdr:from>
      <xdr:col>19</xdr:col>
      <xdr:colOff>1047750</xdr:colOff>
      <xdr:row>0</xdr:row>
      <xdr:rowOff>0</xdr:rowOff>
    </xdr:from>
    <xdr:to>
      <xdr:col>22</xdr:col>
      <xdr:colOff>666307</xdr:colOff>
      <xdr:row>5</xdr:row>
      <xdr:rowOff>5944</xdr:rowOff>
    </xdr:to>
    <xdr:pic>
      <xdr:nvPicPr>
        <xdr:cNvPr id="4" name="Picture 10">
          <a:extLst>
            <a:ext uri="{FF2B5EF4-FFF2-40B4-BE49-F238E27FC236}">
              <a16:creationId xmlns:a16="http://schemas.microsoft.com/office/drawing/2014/main" xmlns="" id="{00000000-0008-0000-05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307425" y="0"/>
          <a:ext cx="2725069" cy="815569"/>
        </a:xfrm>
        <a:prstGeom prst="rect">
          <a:avLst/>
        </a:prstGeom>
      </xdr:spPr>
    </xdr:pic>
    <xdr:clientData/>
  </xdr:twoCellAnchor>
  <xdr:oneCellAnchor>
    <xdr:from>
      <xdr:col>3</xdr:col>
      <xdr:colOff>3948112</xdr:colOff>
      <xdr:row>75</xdr:row>
      <xdr:rowOff>328612</xdr:rowOff>
    </xdr:from>
    <xdr:ext cx="65" cy="172227"/>
    <xdr:sp macro="" textlink="">
      <xdr:nvSpPr>
        <xdr:cNvPr id="5" name="CuadroTexto 4">
          <a:extLst>
            <a:ext uri="{FF2B5EF4-FFF2-40B4-BE49-F238E27FC236}">
              <a16:creationId xmlns:a16="http://schemas.microsoft.com/office/drawing/2014/main" xmlns="" id="{00000000-0008-0000-0500-000005000000}"/>
            </a:ext>
          </a:extLst>
        </xdr:cNvPr>
        <xdr:cNvSpPr txBox="1"/>
      </xdr:nvSpPr>
      <xdr:spPr>
        <a:xfrm>
          <a:off x="6186487" y="26724768"/>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s-EC" sz="1100"/>
        </a:p>
      </xdr:txBody>
    </xdr:sp>
    <xdr:clientData/>
  </xdr:oneCellAnchor>
  <xdr:oneCellAnchor>
    <xdr:from>
      <xdr:col>3</xdr:col>
      <xdr:colOff>3948112</xdr:colOff>
      <xdr:row>28</xdr:row>
      <xdr:rowOff>0</xdr:rowOff>
    </xdr:from>
    <xdr:ext cx="65" cy="172227"/>
    <xdr:sp macro="" textlink="">
      <xdr:nvSpPr>
        <xdr:cNvPr id="6" name="CuadroTexto 5">
          <a:extLst>
            <a:ext uri="{FF2B5EF4-FFF2-40B4-BE49-F238E27FC236}">
              <a16:creationId xmlns:a16="http://schemas.microsoft.com/office/drawing/2014/main" xmlns="" id="{00000000-0008-0000-0500-000006000000}"/>
            </a:ext>
          </a:extLst>
        </xdr:cNvPr>
        <xdr:cNvSpPr txBox="1"/>
      </xdr:nvSpPr>
      <xdr:spPr>
        <a:xfrm>
          <a:off x="5436393" y="2335530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s-EC" sz="1100"/>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273511</xdr:colOff>
      <xdr:row>27</xdr:row>
      <xdr:rowOff>137159</xdr:rowOff>
    </xdr:to>
    <xdr:pic>
      <xdr:nvPicPr>
        <xdr:cNvPr id="2" name="Imagen 1">
          <a:extLst>
            <a:ext uri="{FF2B5EF4-FFF2-40B4-BE49-F238E27FC236}">
              <a16:creationId xmlns:a16="http://schemas.microsoft.com/office/drawing/2014/main" xmlns="" id="{00000000-0008-0000-0600-000002000000}"/>
            </a:ext>
          </a:extLst>
        </xdr:cNvPr>
        <xdr:cNvPicPr>
          <a:picLocks noChangeAspect="1"/>
        </xdr:cNvPicPr>
      </xdr:nvPicPr>
      <xdr:blipFill>
        <a:blip xmlns:r="http://schemas.openxmlformats.org/officeDocument/2006/relationships" r:embed="rId1"/>
        <a:stretch>
          <a:fillRect/>
        </a:stretch>
      </xdr:blipFill>
      <xdr:spPr>
        <a:xfrm>
          <a:off x="0" y="0"/>
          <a:ext cx="9783271" cy="507491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68035</xdr:colOff>
      <xdr:row>0</xdr:row>
      <xdr:rowOff>0</xdr:rowOff>
    </xdr:from>
    <xdr:to>
      <xdr:col>3</xdr:col>
      <xdr:colOff>478133</xdr:colOff>
      <xdr:row>5</xdr:row>
      <xdr:rowOff>82645</xdr:rowOff>
    </xdr:to>
    <xdr:pic>
      <xdr:nvPicPr>
        <xdr:cNvPr id="2" name="Image 5">
          <a:extLst>
            <a:ext uri="{FF2B5EF4-FFF2-40B4-BE49-F238E27FC236}">
              <a16:creationId xmlns:a16="http://schemas.microsoft.com/office/drawing/2014/main" xmlns="" id="{00000000-0008-0000-0D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l="6195" r="7343"/>
        <a:stretch>
          <a:fillRect/>
        </a:stretch>
      </xdr:blipFill>
      <xdr:spPr bwMode="auto">
        <a:xfrm>
          <a:off x="706210" y="0"/>
          <a:ext cx="1724548" cy="1035145"/>
        </a:xfrm>
        <a:prstGeom prst="rect">
          <a:avLst/>
        </a:prstGeom>
        <a:solidFill>
          <a:srgbClr val="FFFFFF"/>
        </a:solidFill>
        <a:ln>
          <a:noFill/>
        </a:ln>
      </xdr:spPr>
    </xdr:pic>
    <xdr:clientData/>
  </xdr:twoCellAnchor>
  <xdr:twoCellAnchor editAs="oneCell">
    <xdr:from>
      <xdr:col>8</xdr:col>
      <xdr:colOff>54428</xdr:colOff>
      <xdr:row>0</xdr:row>
      <xdr:rowOff>0</xdr:rowOff>
    </xdr:from>
    <xdr:to>
      <xdr:col>9</xdr:col>
      <xdr:colOff>667285</xdr:colOff>
      <xdr:row>5</xdr:row>
      <xdr:rowOff>86409</xdr:rowOff>
    </xdr:to>
    <xdr:pic>
      <xdr:nvPicPr>
        <xdr:cNvPr id="3" name="Image 6">
          <a:extLst>
            <a:ext uri="{FF2B5EF4-FFF2-40B4-BE49-F238E27FC236}">
              <a16:creationId xmlns:a16="http://schemas.microsoft.com/office/drawing/2014/main" xmlns="" id="{00000000-0008-0000-0D00-000003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808153" y="0"/>
          <a:ext cx="1793957" cy="1038909"/>
        </a:xfrm>
        <a:prstGeom prst="rect">
          <a:avLst/>
        </a:prstGeom>
        <a:solidFill>
          <a:srgbClr val="FFFFFF"/>
        </a:solidFill>
        <a:ln>
          <a:noFill/>
        </a:ln>
      </xdr:spPr>
    </xdr:pic>
    <xdr:clientData/>
  </xdr:twoCellAnchor>
  <xdr:twoCellAnchor editAs="oneCell">
    <xdr:from>
      <xdr:col>14</xdr:col>
      <xdr:colOff>0</xdr:colOff>
      <xdr:row>0</xdr:row>
      <xdr:rowOff>95249</xdr:rowOff>
    </xdr:from>
    <xdr:to>
      <xdr:col>17</xdr:col>
      <xdr:colOff>320535</xdr:colOff>
      <xdr:row>4</xdr:row>
      <xdr:rowOff>148818</xdr:rowOff>
    </xdr:to>
    <xdr:pic>
      <xdr:nvPicPr>
        <xdr:cNvPr id="4" name="Picture 10">
          <a:extLst>
            <a:ext uri="{FF2B5EF4-FFF2-40B4-BE49-F238E27FC236}">
              <a16:creationId xmlns:a16="http://schemas.microsoft.com/office/drawing/2014/main" xmlns="" id="{00000000-0008-0000-0D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7611725" y="95249"/>
          <a:ext cx="2720835" cy="815569"/>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ydee Lucio Echeverria" refreshedDate="44488.879486458332" createdVersion="7" refreshedVersion="7" minRefreshableVersion="3" recordCount="95">
  <cacheSource type="worksheet">
    <worksheetSource ref="B16:H95" sheet="PAyC BDE AFD LAIF"/>
  </cacheSource>
  <cacheFields count="7">
    <cacheField name="N°" numFmtId="0">
      <sharedItems containsString="0" containsBlank="1" containsNumber="1" containsInteger="1" minValue="1" maxValue="87"/>
    </cacheField>
    <cacheField name="Componente" numFmtId="0">
      <sharedItems containsBlank="1" containsMixedTypes="1" containsNumber="1" minValue="2" maxValue="3.1" count="8">
        <m/>
        <n v="2"/>
        <n v="3"/>
        <s v="3.1"/>
        <n v="3.1"/>
        <s v="3.2"/>
        <s v="3.3"/>
        <s v="3.4"/>
      </sharedItems>
    </cacheField>
    <cacheField name="NOMBRE DEL CONTRATO _x000a_(Descripción)" numFmtId="0">
      <sharedItems containsBlank="1" longText="1"/>
    </cacheField>
    <cacheField name="Monto estimado asignado fijo 2021 en dólares _x000a_(Sin IVA)" numFmtId="0">
      <sharedItems containsString="0" containsBlank="1" containsNumber="1" minValue="0" maxValue="900000"/>
    </cacheField>
    <cacheField name="Monto estimado asignado fijo 2022 en dólares _x000a_(Sin IVA)" numFmtId="0">
      <sharedItems containsString="0" containsBlank="1" containsNumber="1" minValue="1800" maxValue="460000"/>
    </cacheField>
    <cacheField name="Monto estimado asignado fijo 2023 en dólares  (Sin IVA)" numFmtId="0">
      <sharedItems containsString="0" containsBlank="1" containsNumber="1" minValue="0" maxValue="129612.4"/>
    </cacheField>
    <cacheField name="Monto estimado asignado Total en dólares _x000a_(Sin IVA)" numFmtId="0">
      <sharedItems containsString="0" containsBlank="1" containsNumber="1" minValue="1500" maxValue="91371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95">
  <r>
    <m/>
    <x v="0"/>
    <m/>
    <m/>
    <m/>
    <m/>
    <m/>
  </r>
  <r>
    <m/>
    <x v="1"/>
    <s v="COMPONENTE 2      ESTUDIOS DE PRE-INVERSIÓN"/>
    <m/>
    <m/>
    <m/>
    <n v="1962900"/>
  </r>
  <r>
    <n v="1"/>
    <x v="1"/>
    <s v="Estudios de diagnóstico y complementación de diseños de tanques, conexiones, modelación hidráulica, macrosectorización para entrega de agua en bloque, macromedición y redes para la operación integral del Sistema de Agua Potable Pesillo-Imbabura."/>
    <n v="640559"/>
    <m/>
    <m/>
    <n v="640559"/>
  </r>
  <r>
    <n v="2"/>
    <x v="1"/>
    <s v="Estudios y Diseños Definitivos de los Sistemas de agua potable, alcantarillado sanitario y pluvial de la Cabecera Parroquial de Santa Rosa, Cantón Santa Cruz, Provincia de Galápagos."/>
    <n v="198223.44"/>
    <m/>
    <m/>
    <n v="198223.44"/>
  </r>
  <r>
    <n v="3"/>
    <x v="1"/>
    <s v="Estudios y diseños de agua potable, alcantarillado sanitario, pluvial y tratamiento de aguas residuales para parroquias seleccionadas de los cantones Pasaje, Naranjal y Tosagua."/>
    <n v="589855.88"/>
    <m/>
    <m/>
    <n v="589855.88"/>
  </r>
  <r>
    <n v="4"/>
    <x v="1"/>
    <s v="Estudios y diseños integrales para la ampliación y mejoramiento del sistema de alcantarillado sanitario, pluvial y plantas de tratamiento de la Parroquia El Pan y centro Parroquial de San Vicente, del cantón El Pan, provincia de Azuay"/>
    <n v="191964.29"/>
    <m/>
    <m/>
    <n v="191964.29"/>
  </r>
  <r>
    <n v="5"/>
    <x v="1"/>
    <s v="Estudios del sistema integral de agua potable para la parroquia Río Blanco y los sectores de El Paraíso, Padre Carolo, Paús, Kachik Y Timbiana; y la evaluación, diagnóstico y diseños definitivos del sistema de alcantarillado sanitario y pluvial de Río Blanco, El Paraíso y San Gregorio, del cantón Morona"/>
    <n v="174285.71"/>
    <m/>
    <m/>
    <n v="174285.71"/>
  </r>
  <r>
    <n v="6"/>
    <x v="1"/>
    <s v="Fiscalización de los estudios y diseños de agua potable, alcantarillado sanitario, pluvial y tratamiento de aguas residuales para parroquias seleccionadas de los cantones Pasaje, Naranjal y Tosagua"/>
    <n v="24558.04"/>
    <m/>
    <m/>
    <n v="24558.04"/>
  </r>
  <r>
    <n v="7"/>
    <x v="1"/>
    <s v="Estudios de alcantarillado para San Jacinto, San Alejo y San Clemente, parroquia Charapotó, cantón Sucre, provincia de Manabí."/>
    <n v="143453.64000000013"/>
    <m/>
    <m/>
    <n v="143453.64000000013"/>
  </r>
  <r>
    <m/>
    <x v="2"/>
    <s v="COMPONENTE 3      ASISTENCIA TÉCNICA"/>
    <m/>
    <m/>
    <m/>
    <n v="9137100"/>
  </r>
  <r>
    <m/>
    <x v="3"/>
    <s v="Subcomponente 3.1               Asistencia Técnica a GADMs"/>
    <m/>
    <m/>
    <m/>
    <n v="7688125.0199999996"/>
  </r>
  <r>
    <n v="8"/>
    <x v="3"/>
    <s v="Diseño, implementación y acompañamiento de un modelo de gestión  pública para la administración, operación y mantenimiento del Sistema Regional de Agua Potable Pesillo-Imbabura a través de una Empresa Pública Mancomunada con participación comunitaria."/>
    <n v="576548"/>
    <m/>
    <m/>
    <n v="576548"/>
  </r>
  <r>
    <n v="9"/>
    <x v="3"/>
    <s v="Fiscalización de la consultoría del Diseño, implementación y acompañamiento de un modelo de gestión  pública para la administración, operación y mantenimiento del Sistema Regional de Agua Potable Pesillo-Imbabura a través de una Empresa Pública Mancomunada con participación comunitaria."/>
    <n v="50025.55"/>
    <m/>
    <m/>
    <n v="50025.55"/>
  </r>
  <r>
    <n v="10"/>
    <x v="3"/>
    <s v="Elaboración de Términos de Referencia para el Desarrollo e Implementación de Planes de Fortalecimiento de la Gestión Institucional de Empresas y Direcciones Municipales de Agua Potable y Alcantarillado."/>
    <n v="12250"/>
    <m/>
    <m/>
    <n v="12250"/>
  </r>
  <r>
    <n v="11"/>
    <x v="3"/>
    <s v="Elaboración de Especificaciones Técnicas para la provisión, instalación y puesta en funcionamiento  de equipos para mejora de la gestión de la calidad del agua potable y residual en Laboratorios de Empresas y Direcciones municipales de agua potable y alcantarillado."/>
    <n v="10000"/>
    <m/>
    <m/>
    <n v="10000"/>
  </r>
  <r>
    <n v="12"/>
    <x v="3"/>
    <s v="Elaboración de Términos de Referencia para la Formulación e Implementación de Planes estratégicos, y Suministro, instalación y puesta en operación de equipos, para Reducción del Índice de Agua No Contabilizada (IANC) en Empresas y Direcciones Municipales de agua potable y alcantarillado."/>
    <n v="14000"/>
    <m/>
    <m/>
    <n v="14000"/>
  </r>
  <r>
    <n v="13"/>
    <x v="3"/>
    <s v="Apoyo en evaluación de ofertas, recepción de software y hardware,  y supervisión de la implementación y puesta en operación de nuevo sistema contable automatizado bajo normativa NIIF con centro de costos,  para Empresas y direcciones municipales de agua potable y saneamiento."/>
    <n v="15000"/>
    <m/>
    <m/>
    <n v="15000"/>
  </r>
  <r>
    <n v="14"/>
    <x v="3"/>
    <s v="Apoyo en evaluación de ofertas, recepción de software y hardware, y supervisión de la implementación y puesta en operación de nuevo sistema informático  comercial para Empresas y direcciones municipales de agua potable y saneamiento."/>
    <n v="15000"/>
    <m/>
    <m/>
    <n v="15000"/>
  </r>
  <r>
    <n v="15"/>
    <x v="3"/>
    <s v="Apoyo en proceso precontractual, recepción de equipos del laboratorio, y desarrollo de planes de acción para la certificación SAE."/>
    <n v="15000"/>
    <m/>
    <m/>
    <n v="15000"/>
  </r>
  <r>
    <n v="16"/>
    <x v="3"/>
    <s v="Desarrollo e implementación de la Planificación Estratégica, aseguramiento de calidad y capacitación en Empresas y Direcciones municipales de agua potable y alcantarillado."/>
    <n v="196810"/>
    <m/>
    <m/>
    <n v="196810"/>
  </r>
  <r>
    <n v="17"/>
    <x v="3"/>
    <s v="Desarrollo e implementación de Planes de reducción de costos, mejora de ingresos y eficiencia de recaudación para elevar la autosuficiencia financiera y operacional, y alcanzar sostenibilidad financiera de Empresas y Direcciones municipales de agua potable y alcantarillado."/>
    <n v="390000"/>
    <m/>
    <m/>
    <n v="390000"/>
  </r>
  <r>
    <n v="18"/>
    <x v="3"/>
    <s v="Desarrollo e Implementación de Planes de fortalecimiento de la gestión institucional en Empresas y Direcciones municipales de agua potable y alcantarillado."/>
    <n v="480000"/>
    <m/>
    <m/>
    <n v="480000"/>
  </r>
  <r>
    <n v="19"/>
    <x v="3"/>
    <s v="Suministro, implementación y puesta en operación de nuevo sistema informático comercial para empresas públicas y direcciones municipales de agua potable y alcantarillado."/>
    <m/>
    <n v="460000"/>
    <m/>
    <n v="460000"/>
  </r>
  <r>
    <n v="20"/>
    <x v="3"/>
    <s v="Suministro de equipos de computación e impresoras para Direcciones Municipales de agua potable y alcantarillado de Guano y Latacunga."/>
    <m/>
    <n v="33100"/>
    <m/>
    <n v="33100"/>
  </r>
  <r>
    <n v="21"/>
    <x v="3"/>
    <s v="Desarrollo, implementación y puesta en operación del sistema contable automatizado bajo normativa NIIF con centros de costos para  empresas públicas de agua potable y saneamiento."/>
    <n v="500000"/>
    <m/>
    <m/>
    <n v="500000"/>
  </r>
  <r>
    <n v="22"/>
    <x v="3"/>
    <s v="Desarrollo e implementación de Pliegos Tarifarios y Reglamentos de Servicios en Empresas y Direcciones Municipales de agua potable y alcantarillado."/>
    <n v="197839"/>
    <m/>
    <m/>
    <n v="197839"/>
  </r>
  <r>
    <n v="23"/>
    <x v="3"/>
    <s v="Medición de satisfacción ciudadana de servicios de agua potable y saneamiento; e implementación de Campañas comunicacionales para promover el uso responsables, el cuidado del agua y la corresponsabilidad en el pago de los servicios."/>
    <n v="310000"/>
    <m/>
    <m/>
    <n v="310000"/>
  </r>
  <r>
    <n v="24"/>
    <x v="3"/>
    <s v="Desarrollo e implementación de planes piloto de actualización de catastros de consumidores y usuarios en Empresas y Direcciones municipales de agua potable y alcantarillado."/>
    <n v="300000"/>
    <m/>
    <m/>
    <n v="300000"/>
  </r>
  <r>
    <n v="25"/>
    <x v="3"/>
    <s v="Desarrollo e implementación de Planes Estratégicos para reducción del Índice de Agua No Contabilizada (IANC) en Empresas y Direcciones Municipales de agua potable y alcantarillado."/>
    <n v="650000"/>
    <m/>
    <m/>
    <n v="650000"/>
  </r>
  <r>
    <n v="26"/>
    <x v="3"/>
    <s v="Suministro, instalación y puesta en operación de equipos, accesorios, e intervenciones, para reducción del Índice de Agua No Contabilizada (IANC) en Empresas y Direcciones Municipales de Agua Potable y Alcantarillado."/>
    <n v="900000"/>
    <m/>
    <m/>
    <n v="900000"/>
  </r>
  <r>
    <n v="27"/>
    <x v="3"/>
    <s v="Provisión, instalación y puesta en funcionamiento de equipos para mejora de la gestión de la calidad del agua potable y residual en Laboratorios de Empresas y Direcciones municipales de agua potable y alcantarillado."/>
    <n v="681573"/>
    <m/>
    <m/>
    <n v="681573"/>
  </r>
  <r>
    <n v="28"/>
    <x v="3"/>
    <s v="Adquisición de Hidrosuccionadores para el mantenimiento de los sistemas de alcantarillado."/>
    <n v="880000"/>
    <m/>
    <m/>
    <n v="880000"/>
  </r>
  <r>
    <n v="29"/>
    <x v="3"/>
    <s v="Elaboración de los Términos de Referencia para la Contratación de una Empresa Consultora que elabore los Planes Maestros de Agua Potable,  Alcantarillado Sanitario, Pluvial y Tratamiento de Aguas Residuales para la Ciudad de Ambato."/>
    <n v="40000"/>
    <m/>
    <m/>
    <n v="40000"/>
  </r>
  <r>
    <n v="30"/>
    <x v="3"/>
    <s v="Apoyo a la implementación del Modelo de Gestión de Pesillo; y fortalecimiento de la gestión comunitaria del agua potable."/>
    <n v="186922"/>
    <m/>
    <m/>
    <n v="186922"/>
  </r>
  <r>
    <n v="31"/>
    <x v="3"/>
    <s v="Servicios de organización y ejecución de talleres y eventos en el marco de la implementación del Programa de Asistencia Técnica BDE/AFD/UE-LAIF."/>
    <n v="32000"/>
    <m/>
    <m/>
    <n v="32000"/>
  </r>
  <r>
    <n v="32"/>
    <x v="3"/>
    <s v="Gerenciamiento de la Ejecución de la Fase I del Proyecto Plan Maestro de Alcantarillado de la ciudad de Latacunga"/>
    <n v="54000"/>
    <m/>
    <m/>
    <n v="54000"/>
  </r>
  <r>
    <n v="33"/>
    <x v="4"/>
    <s v="Adenda al Contrato de Gerenciamiento de la Ejecución de la Fase I del Proyecto Plan Maestro de Alcantarillado de la ciudad de Latacunga"/>
    <n v="9000"/>
    <n v="1800"/>
    <m/>
    <n v="10800"/>
  </r>
  <r>
    <n v="34"/>
    <x v="3"/>
    <s v="Gerenciamiento de la Ejecución de la Fase I del Proyecto Plan Maestro de Alcantarillado de la ciudad de Latacunga"/>
    <m/>
    <n v="49427.64"/>
    <m/>
    <n v="49427.64"/>
  </r>
  <r>
    <n v="35"/>
    <x v="3"/>
    <s v="Servicios de capacitación para la Gerencia de División de Asistencia Técnica del Banco de Desarrollo del Ecuador B.P."/>
    <n v="48000"/>
    <m/>
    <m/>
    <n v="48000"/>
  </r>
  <r>
    <n v="36"/>
    <x v="3"/>
    <s v="Asesor técnico de apoyo a la UGP Pesillo para las negociaciones con el contratista de obras y fiscalización del proyecto Pesillo-Imbabura."/>
    <n v="16000"/>
    <m/>
    <m/>
    <n v="16000"/>
  </r>
  <r>
    <n v="37"/>
    <x v="3"/>
    <s v="Ingeniero para el control de trabajos de campo para la unidad de gerenciamiento del proyecto Pesillo-Imbabura."/>
    <n v="20000"/>
    <n v="20000"/>
    <m/>
    <n v="40000"/>
  </r>
  <r>
    <n v="38"/>
    <x v="3"/>
    <s v="Ingeniero estructural y de control de obra y planillaje de la unidad de gerenciamiento del proyecto Pesillo-Imbabura."/>
    <n v="20000"/>
    <n v="20000"/>
    <m/>
    <n v="40000"/>
  </r>
  <r>
    <n v="39"/>
    <x v="3"/>
    <s v="Contratación de Consultoría de Asistencia Técnica para la Administración, Implementación y Seguimiento del ”Programa de Cooperación de Asistencia Técnica para el fortalecimiento de la gestión de servicios y el desarrollo de las inversiones de agua potable y saneamiento, y residuos sólidos, en el Marco del Programa BDE/AFD/UE-LAIF”"/>
    <n v="34973.289999999979"/>
    <n v="319244.1399999999"/>
    <n v="129612.4"/>
    <n v="483829.82999999984"/>
  </r>
  <r>
    <m/>
    <x v="5"/>
    <s v="Subcomponente 3.2              Gestión del Programa"/>
    <m/>
    <m/>
    <m/>
    <n v="1249174.98"/>
  </r>
  <r>
    <m/>
    <x v="0"/>
    <s v="Composición de la UGP"/>
    <m/>
    <m/>
    <m/>
    <n v="963962.9800000001"/>
  </r>
  <r>
    <n v="40"/>
    <x v="5"/>
    <s v="Agente Supervisor (Jefe) de la Unidad de Gestión de Programa de Cooperación de Asistencia Técnica para el fortalecimiento de la gestión de servicios y el desarrollo de las inversiones de agua potable saneamiento y residuos sólidos. "/>
    <n v="208336"/>
    <m/>
    <m/>
    <n v="208336"/>
  </r>
  <r>
    <n v="41"/>
    <x v="5"/>
    <s v="Agente Supervisor (Jefe) de la Unidad de Gestión de Programa de Cooperación de Asistencia Técnica para el fortalecimiento de la gestión de servicios y el desarrollo de las inversiones de agua potable saneamiento y residuos sólidos. "/>
    <n v="0"/>
    <n v="49427.64"/>
    <m/>
    <n v="49427.64"/>
  </r>
  <r>
    <n v="42"/>
    <x v="5"/>
    <s v="Especialista en Contratación de la Unidad de Gestión de Programa de Cooperación de Asistencia Técnica para el Fortalecimiento de la Gestión de Servicios y el desarrollo de las inversiones de agua potable saneamiento y residuos sólidos en el marco del programa BDE-AFD-LAIF. "/>
    <n v="88170"/>
    <m/>
    <m/>
    <n v="88170"/>
  </r>
  <r>
    <n v="43"/>
    <x v="5"/>
    <s v="Adenda al Contrato del Especialista en Contratación de la Unidad de Gestión de Programa de Cooperación de Asistencia Técnica para el Fortalecimiento de la Gestión de Servicios y el desarrollo de las inversiones de agua potable saneamiento y residuos sólidos en el marco del programa BDE-AFD-LAIF. "/>
    <n v="17634"/>
    <m/>
    <m/>
    <n v="17634"/>
  </r>
  <r>
    <n v="44"/>
    <x v="5"/>
    <s v="Especialista en Contratación de la Unidad de Gestión de Programa de Cooperación de Asistencia Técnica para el Fortalecimiento de la Gestión de Servicios y el desarrollo de las inversiones de agua potable saneamiento y residuos sólidos en el marco del programa BDE-AFD-LAIF. "/>
    <n v="0"/>
    <n v="37723.199999999997"/>
    <m/>
    <n v="37723.199999999997"/>
  </r>
  <r>
    <n v="45"/>
    <x v="5"/>
    <s v=" Experto en Gestión de Servicios de Agua y Saneamiento de la Unidad de Gestión del Programa de Cooperación de Asistencia Técnica para el fortalecimiento de la gestión de servicios y el desarrollo de las inversiones de agua potable, saneamiento y residuos solidos, en el marco del programa BDE-AFD-LAIF; y, Adenda."/>
    <n v="130680"/>
    <m/>
    <m/>
    <n v="130680"/>
  </r>
  <r>
    <n v="46"/>
    <x v="6"/>
    <s v="Experto en Gestión de Servicios de Agua y Saneamiento de la Unidad de Gestión del Programa de Cooperación de Asistencia Técnica para el fortalecimiento de la gestión de servicios y el desarrollo de las inversiones de agua potable, saneamiento y residuos solidos, en el marco del programa BDE-AFD-LAIF"/>
    <m/>
    <n v="37723.199999999997"/>
    <m/>
    <n v="37723.199999999997"/>
  </r>
  <r>
    <n v="47"/>
    <x v="5"/>
    <s v="Especialista en Contabilidad y Finanzas de la Unidad de Gestión del Programa de Cooperación de Asistencia Técnica para el fortalecimiento de la gestión de servicios y el desarrollo de las inversiones de agua potable, saneamiento y residuos solidos, en el marco del programa BDE-AFD-LAIF."/>
    <n v="60705"/>
    <m/>
    <m/>
    <n v="60705"/>
  </r>
  <r>
    <n v="48"/>
    <x v="5"/>
    <s v="Experto en Ingeniería Sanitaria de la UGP BDE/AFD/LAIF "/>
    <n v="61209"/>
    <m/>
    <m/>
    <n v="61209"/>
  </r>
  <r>
    <n v="49"/>
    <x v="5"/>
    <s v="Experto en Ingeniería Sanitaria de la UGP BDE/AFD/LAIF "/>
    <n v="0"/>
    <n v="37723.199999999997"/>
    <m/>
    <n v="37723.199999999997"/>
  </r>
  <r>
    <n v="50"/>
    <x v="5"/>
    <s v="&quot;Elaboración e implementación del Plan de Comunicación y Visibilidad del Programa BDE/AFD/UE-LAIF&quot;"/>
    <n v="36000"/>
    <m/>
    <m/>
    <n v="36000"/>
  </r>
  <r>
    <n v="51"/>
    <x v="0"/>
    <s v="Adenda al Contrato &quot;Elaboración e implementación del Plan de Comunicación y Visibilidad del Programa BDE/AFD/UE-LAIF"/>
    <m/>
    <n v="6840"/>
    <m/>
    <n v="6840"/>
  </r>
  <r>
    <n v="52"/>
    <x v="5"/>
    <s v="Analista de Comunicación"/>
    <m/>
    <n v="14994"/>
    <m/>
    <n v="14994"/>
  </r>
  <r>
    <n v="53"/>
    <x v="5"/>
    <s v="Asistente Administrativo para la Unidad de Gestión del Programa BDE/AFD/UE-LAIF "/>
    <n v="25200"/>
    <m/>
    <m/>
    <n v="25200"/>
  </r>
  <r>
    <n v="54"/>
    <x v="5"/>
    <s v="Adenda al Contrato de Asistente Administrativo para la Unidad de Gestión del Programa "/>
    <n v="1800"/>
    <n v="3240"/>
    <m/>
    <n v="5040"/>
  </r>
  <r>
    <n v="55"/>
    <x v="5"/>
    <s v="Analista Administrativo para la Unidad de Gestión del Programa BDE/AFD/UE-LAIF "/>
    <m/>
    <n v="19278.18"/>
    <m/>
    <n v="19278.18"/>
  </r>
  <r>
    <n v="56"/>
    <x v="5"/>
    <s v="Analista Técnico para la Unidad de Gestión del Programa BDE/AFD/UE-LAIF "/>
    <n v="0"/>
    <n v="19278.18"/>
    <n v="0"/>
    <n v="19278.18"/>
  </r>
  <r>
    <n v="58"/>
    <x v="5"/>
    <s v="Especialista Administrativo-Financiero de la Unidad de Gestión del Programa BDE/AFD/UE-LAIF"/>
    <n v="0"/>
    <n v="37723.199999999997"/>
    <m/>
    <n v="37723.199999999997"/>
  </r>
  <r>
    <n v="59"/>
    <x v="5"/>
    <s v="Asistente en contratación de la UGP del Programa BDE/AFD/UE-LAIF "/>
    <n v="16000"/>
    <m/>
    <m/>
    <n v="16000"/>
  </r>
  <r>
    <n v="60"/>
    <x v="5"/>
    <s v="Analista de contratación de la UGP del Programa BDE/AFD/UE-LAIF "/>
    <m/>
    <n v="19278.18"/>
    <m/>
    <n v="19278.18"/>
  </r>
  <r>
    <n v="61"/>
    <x v="5"/>
    <s v="Gastos para gestión del programa"/>
    <m/>
    <n v="35000"/>
    <m/>
    <n v="35000"/>
  </r>
  <r>
    <m/>
    <x v="0"/>
    <s v="Bienes y servicios para la Gestión de la UGP"/>
    <m/>
    <m/>
    <m/>
    <n v="285212"/>
  </r>
  <r>
    <n v="62"/>
    <x v="5"/>
    <s v="Adquisición de computadoras portátiles y de escritorio "/>
    <n v="11200"/>
    <m/>
    <m/>
    <n v="11200"/>
  </r>
  <r>
    <n v="63"/>
    <x v="5"/>
    <s v="Adquisición de equipos de impresión  y escáner"/>
    <n v="11000"/>
    <m/>
    <m/>
    <n v="11000"/>
  </r>
  <r>
    <n v="64"/>
    <x v="5"/>
    <s v="Adquisición de materiales para impresión"/>
    <n v="6000"/>
    <m/>
    <m/>
    <n v="6000"/>
  </r>
  <r>
    <n v="65"/>
    <x v="5"/>
    <s v=" Adquisición de Suministros de oficina y materiales "/>
    <n v="8490"/>
    <m/>
    <m/>
    <n v="8490"/>
  </r>
  <r>
    <n v="66"/>
    <x v="5"/>
    <s v="Adquisición de Vehículo"/>
    <n v="45000"/>
    <m/>
    <m/>
    <n v="45000"/>
  </r>
  <r>
    <n v="67"/>
    <x v="5"/>
    <s v="Pago por rembolso de viáticos, y pasajes aéreos a GADs de la diferentes ciudades del país."/>
    <n v="66910"/>
    <m/>
    <m/>
    <n v="66910"/>
  </r>
  <r>
    <n v="68"/>
    <x v="5"/>
    <s v="Arrendamiento vehículo para las visitas y desplazamientos  "/>
    <n v="15540"/>
    <m/>
    <m/>
    <n v="15540"/>
  </r>
  <r>
    <n v="69"/>
    <x v="5"/>
    <s v="Servicio de Mantenimiento del Vehículo del Programa BDE/AFD/UE-LAIF"/>
    <n v="5000"/>
    <m/>
    <m/>
    <n v="5000"/>
  </r>
  <r>
    <n v="70"/>
    <x v="5"/>
    <s v="Combustible para Vehículo del Programa BDE/AFD/UE-LAIF"/>
    <n v="2500"/>
    <m/>
    <m/>
    <n v="2500"/>
  </r>
  <r>
    <n v="71"/>
    <x v="5"/>
    <s v="Lubricantes para Vehículo del Programa BDE/AFD/UE-LAIF"/>
    <n v="1500"/>
    <m/>
    <m/>
    <n v="1500"/>
  </r>
  <r>
    <n v="72"/>
    <x v="5"/>
    <s v="Repuestos  y Accesorios para el Vehículo del Programa BDE/AFD/UE-LAIF"/>
    <n v="2000"/>
    <m/>
    <m/>
    <n v="2000"/>
  </r>
  <r>
    <n v="73"/>
    <x v="5"/>
    <s v="Matriculación del Vehículo del Programa BDE/AFD/UE-LAIF"/>
    <n v="3500"/>
    <m/>
    <m/>
    <n v="3500"/>
  </r>
  <r>
    <n v="74"/>
    <x v="5"/>
    <s v="Publicación de solicitud de propuestas para contratación de servicios de consultoría del experto en Ingeniería Sanitaria de la UGP BDE/AFD/LAIF"/>
    <n v="5824"/>
    <m/>
    <m/>
    <n v="5824"/>
  </r>
  <r>
    <n v="75"/>
    <x v="5"/>
    <s v="Publicaciones en medios masivos de comunicación de la Solicitud de Expresión de Interés para los &quot;Estudios de Diagnóstico y Complementación de diseños de tanques, conexiones; modelación hidráulica, macrosectorización para entrega de agua en bloque, macromedición y redes para la operación integral del Sistema de Agua Potable Pesillo- Imbabura&quot;"/>
    <n v="5824"/>
    <m/>
    <m/>
    <n v="5824"/>
  </r>
  <r>
    <n v="76"/>
    <x v="5"/>
    <s v="Publicaciones en medios masivos de comunicación de la Solicitud de Expresión de Interés para los estudios de &quot;Diseño, implementación y acompañamiento de Un modelo de gestión  pública para la administración, operación y mantenimiento del Sistema Regional de Agua Potable Pesillo-Imbabura a través de una Empresa Pública Mancomunada con participación comunitaria&quot;."/>
    <n v="5824"/>
    <m/>
    <m/>
    <n v="5824"/>
  </r>
  <r>
    <n v="77"/>
    <x v="5"/>
    <s v="Servicios de Publicación de las Solicitudes de Expresión de Interés y otros en medios masivos de comunicación (prensa escrita nacional). "/>
    <n v="41704"/>
    <m/>
    <m/>
    <n v="41704"/>
  </r>
  <r>
    <n v="78"/>
    <x v="5"/>
    <s v="Adquisición de proyectores y grabadora para la Unidad de Gestión del Programa BDE/AFD/UE-LAIF"/>
    <n v="2000"/>
    <m/>
    <m/>
    <n v="2000"/>
  </r>
  <r>
    <n v="79"/>
    <x v="5"/>
    <s v="Contratación del servicio de internet móvil para la UGP BDE/AFD/UE-LAIF"/>
    <n v="4800"/>
    <m/>
    <m/>
    <n v="4800"/>
  </r>
  <r>
    <n v="80"/>
    <x v="5"/>
    <s v="Servicios de provisión de pasajes aéreos nacionales, para los profesionales que intervengan en la implementación del Programa BDE/AFD/UE-LAIF"/>
    <n v="15300"/>
    <m/>
    <m/>
    <n v="15300"/>
  </r>
  <r>
    <n v="81"/>
    <x v="5"/>
    <s v="Adquisición de mobiliario de oficina para la UGP BDE/AFD/UE-LAIF"/>
    <n v="2000"/>
    <m/>
    <m/>
    <n v="2000"/>
  </r>
  <r>
    <n v="82"/>
    <x v="5"/>
    <s v="Publicaciones en medios masivos de comunicación de la Solicitud de Expresión de Interés para los proyectos del Componente 2 (Estudios de Preinversión) y del Componente 3.1 (Asistencia Técnica)"/>
    <n v="11648"/>
    <m/>
    <m/>
    <n v="11648"/>
  </r>
  <r>
    <n v="83"/>
    <x v="5"/>
    <s v="Publicaciones en medios masivos de comunicación de la Solicitud de Expresión de Interés para proyectos del Componente 3.1 ( Asistencia Técnica a GADMs)"/>
    <n v="11648"/>
    <m/>
    <m/>
    <n v="11648"/>
  </r>
  <r>
    <m/>
    <x v="6"/>
    <s v="Subcomponente 3.3               Comunicación y Visibilidad"/>
    <m/>
    <m/>
    <m/>
    <n v="122100"/>
  </r>
  <r>
    <n v="84"/>
    <x v="6"/>
    <s v="Prestación de servicios de publicidad para la implementación, promoción y difusión del Programa BDE/AFD/UE-LAIF"/>
    <n v="122100"/>
    <m/>
    <m/>
    <n v="122100"/>
  </r>
  <r>
    <m/>
    <x v="7"/>
    <s v="Subcomponente 3.4                Evaluación y Auditoría"/>
    <m/>
    <m/>
    <m/>
    <n v="77700"/>
  </r>
  <r>
    <n v="85"/>
    <x v="7"/>
    <s v="Auditoria del Programa  BDE/AFD/LAIF  por los años 2018 y 2019"/>
    <n v="10300"/>
    <m/>
    <m/>
    <n v="10300"/>
  </r>
  <r>
    <n v="86"/>
    <x v="7"/>
    <s v="Auditoria del Programa BDE/AFD/LAIF por los años 2020 y 2021"/>
    <n v="16500"/>
    <m/>
    <m/>
    <n v="16500"/>
  </r>
  <r>
    <n v="87"/>
    <x v="7"/>
    <s v="Auditoria del Programa BDE/AFD/LAIF por el año 2022"/>
    <m/>
    <n v="50900"/>
    <m/>
    <n v="5090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7" minRefreshableVersion="3" useAutoFormatting="1" itemPrintTitles="1" createdVersion="7" indent="0" outline="1" outlineData="1" multipleFieldFilters="0">
  <location ref="A3:J5" firstHeaderRow="1" firstDataRow="2" firstDataCol="1"/>
  <pivotFields count="7">
    <pivotField showAll="0"/>
    <pivotField axis="axisCol" showAll="0">
      <items count="9">
        <item x="1"/>
        <item x="2"/>
        <item x="4"/>
        <item x="3"/>
        <item x="5"/>
        <item x="6"/>
        <item x="7"/>
        <item x="0"/>
        <item t="default"/>
      </items>
    </pivotField>
    <pivotField showAll="0"/>
    <pivotField showAll="0"/>
    <pivotField showAll="0"/>
    <pivotField showAll="0"/>
    <pivotField dataField="1" showAll="0"/>
  </pivotFields>
  <rowItems count="1">
    <i/>
  </rowItems>
  <colFields count="1">
    <field x="1"/>
  </colFields>
  <colItems count="9">
    <i>
      <x/>
    </i>
    <i>
      <x v="1"/>
    </i>
    <i>
      <x v="2"/>
    </i>
    <i>
      <x v="3"/>
    </i>
    <i>
      <x v="4"/>
    </i>
    <i>
      <x v="5"/>
    </i>
    <i>
      <x v="6"/>
    </i>
    <i>
      <x v="7"/>
    </i>
    <i t="grand">
      <x/>
    </i>
  </colItems>
  <dataFields count="1">
    <dataField name="Suma de Monto estimado asignado Total en dólares _x000a_(Sin IVA)" fld="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
  <dimension ref="A5:T145"/>
  <sheetViews>
    <sheetView topLeftCell="A54" workbookViewId="0">
      <selection activeCell="I125" sqref="I125"/>
    </sheetView>
  </sheetViews>
  <sheetFormatPr baseColWidth="10" defaultRowHeight="15" outlineLevelRow="1" outlineLevelCol="1" x14ac:dyDescent="0.25"/>
  <cols>
    <col min="1" max="1" width="8.28515625" customWidth="1"/>
    <col min="2" max="2" width="55.85546875" customWidth="1"/>
    <col min="3" max="3" width="12.7109375" customWidth="1"/>
    <col min="4" max="4" width="8.28515625" customWidth="1"/>
    <col min="5" max="7" width="11.7109375" customWidth="1"/>
    <col min="8" max="8" width="14.140625" customWidth="1"/>
    <col min="9" max="9" width="11.7109375" customWidth="1" outlineLevel="1"/>
    <col min="10" max="12" width="12.7109375" customWidth="1"/>
    <col min="13" max="13" width="72.42578125" customWidth="1"/>
    <col min="14" max="14" width="12.7109375" customWidth="1"/>
    <col min="15" max="16" width="15" customWidth="1"/>
    <col min="17" max="20" width="13" customWidth="1"/>
    <col min="23" max="23" width="13.85546875" customWidth="1"/>
  </cols>
  <sheetData>
    <row r="5" spans="2:4" ht="15.75" thickBot="1" x14ac:dyDescent="0.3">
      <c r="C5" t="s">
        <v>114</v>
      </c>
      <c r="D5" s="139">
        <v>1.1200000000000001</v>
      </c>
    </row>
    <row r="6" spans="2:4" ht="29.25" thickBot="1" x14ac:dyDescent="0.3">
      <c r="B6" s="109" t="s">
        <v>194</v>
      </c>
      <c r="C6" s="134" t="s">
        <v>103</v>
      </c>
      <c r="D6" s="134" t="s">
        <v>86</v>
      </c>
    </row>
    <row r="7" spans="2:4" x14ac:dyDescent="0.25">
      <c r="B7" s="126" t="s">
        <v>113</v>
      </c>
      <c r="C7" s="133" t="e">
        <f>+#REF!/10^6</f>
        <v>#REF!</v>
      </c>
      <c r="D7" s="138" t="e">
        <f>+C7/C$10</f>
        <v>#REF!</v>
      </c>
    </row>
    <row r="8" spans="2:4" x14ac:dyDescent="0.25">
      <c r="B8" s="126"/>
      <c r="C8" s="133"/>
      <c r="D8" s="138"/>
    </row>
    <row r="9" spans="2:4" ht="15.75" thickBot="1" x14ac:dyDescent="0.3">
      <c r="B9" s="123" t="s">
        <v>191</v>
      </c>
      <c r="C9" s="137">
        <f>+'LAIF (incl AFD Remuneration)'!H58/10^6</f>
        <v>11.536</v>
      </c>
      <c r="D9" s="136" t="e">
        <f>+C9/C$10</f>
        <v>#REF!</v>
      </c>
    </row>
    <row r="10" spans="2:4" ht="15.75" thickBot="1" x14ac:dyDescent="0.3">
      <c r="B10" s="120" t="s">
        <v>87</v>
      </c>
      <c r="C10" s="119" t="e">
        <f>+C9+C7</f>
        <v>#REF!</v>
      </c>
      <c r="D10" s="135" t="e">
        <f>+C10/C$10</f>
        <v>#REF!</v>
      </c>
    </row>
    <row r="11" spans="2:4" ht="29.25" thickBot="1" x14ac:dyDescent="0.3">
      <c r="B11" s="129" t="s">
        <v>111</v>
      </c>
      <c r="C11" s="129" t="s">
        <v>103</v>
      </c>
      <c r="D11" s="127" t="s">
        <v>86</v>
      </c>
    </row>
    <row r="12" spans="2:4" x14ac:dyDescent="0.25">
      <c r="B12" s="126" t="s">
        <v>110</v>
      </c>
      <c r="C12" s="133" t="e">
        <f>+#REF!/10^6</f>
        <v>#REF!</v>
      </c>
      <c r="D12" s="138" t="e">
        <f t="shared" ref="D12:D17" si="0">+C12/C$10</f>
        <v>#REF!</v>
      </c>
    </row>
    <row r="13" spans="2:4" x14ac:dyDescent="0.25">
      <c r="B13" s="126" t="s">
        <v>109</v>
      </c>
      <c r="C13" s="133" t="e">
        <f>(+#REF!+#REF!)/10^6</f>
        <v>#REF!</v>
      </c>
      <c r="D13" s="138" t="e">
        <f t="shared" si="0"/>
        <v>#REF!</v>
      </c>
    </row>
    <row r="14" spans="2:4" x14ac:dyDescent="0.25">
      <c r="B14" s="126" t="s">
        <v>108</v>
      </c>
      <c r="C14" s="133" t="e">
        <f>+#REF!/10^6</f>
        <v>#REF!</v>
      </c>
      <c r="D14" s="138" t="e">
        <f t="shared" si="0"/>
        <v>#REF!</v>
      </c>
    </row>
    <row r="15" spans="2:4" x14ac:dyDescent="0.25">
      <c r="B15" s="126" t="s">
        <v>174</v>
      </c>
      <c r="C15" s="133" t="e">
        <f>+(#REF!+#REF!)/10^6</f>
        <v>#REF!</v>
      </c>
      <c r="D15" s="138" t="e">
        <f t="shared" si="0"/>
        <v>#REF!</v>
      </c>
    </row>
    <row r="16" spans="2:4" ht="15.75" thickBot="1" x14ac:dyDescent="0.3">
      <c r="B16" s="123" t="s">
        <v>91</v>
      </c>
      <c r="C16" s="137">
        <f>+C9</f>
        <v>11.536</v>
      </c>
      <c r="D16" s="136" t="e">
        <f t="shared" si="0"/>
        <v>#REF!</v>
      </c>
    </row>
    <row r="17" spans="2:5" ht="15.75" thickBot="1" x14ac:dyDescent="0.3">
      <c r="B17" s="120" t="s">
        <v>87</v>
      </c>
      <c r="C17" s="119" t="e">
        <f>+SUM(C12:C16)</f>
        <v>#REF!</v>
      </c>
      <c r="D17" s="135" t="e">
        <f t="shared" si="0"/>
        <v>#REF!</v>
      </c>
      <c r="E17" s="7"/>
    </row>
    <row r="18" spans="2:5" ht="15.75" thickBot="1" x14ac:dyDescent="0.3">
      <c r="C18" s="7"/>
    </row>
    <row r="19" spans="2:5" ht="29.25" thickBot="1" x14ac:dyDescent="0.3">
      <c r="B19" s="109" t="s">
        <v>107</v>
      </c>
      <c r="C19" s="134" t="s">
        <v>98</v>
      </c>
      <c r="D19" s="134" t="s">
        <v>86</v>
      </c>
    </row>
    <row r="20" spans="2:5" ht="45" x14ac:dyDescent="0.25">
      <c r="B20" s="96" t="s">
        <v>186</v>
      </c>
      <c r="C20" s="272" t="e">
        <f>+#REF!/10^6</f>
        <v>#REF!</v>
      </c>
      <c r="D20" s="114" t="e">
        <f t="shared" ref="D20:D27" si="1">+C20/C$27</f>
        <v>#REF!</v>
      </c>
    </row>
    <row r="21" spans="2:5" x14ac:dyDescent="0.25">
      <c r="B21" s="96" t="s">
        <v>195</v>
      </c>
      <c r="C21" s="272" t="e">
        <f>#REF!/10^6+I39</f>
        <v>#REF!</v>
      </c>
      <c r="D21" s="114" t="e">
        <f t="shared" si="1"/>
        <v>#REF!</v>
      </c>
    </row>
    <row r="22" spans="2:5" x14ac:dyDescent="0.25">
      <c r="B22" s="126" t="s">
        <v>106</v>
      </c>
      <c r="C22" s="133" t="e">
        <f>+C9-I39-C23-C24-C25-C26</f>
        <v>#REF!</v>
      </c>
      <c r="D22" s="124" t="e">
        <f t="shared" si="1"/>
        <v>#REF!</v>
      </c>
    </row>
    <row r="23" spans="2:5" ht="30" x14ac:dyDescent="0.25">
      <c r="B23" s="126" t="s">
        <v>90</v>
      </c>
      <c r="C23" s="132">
        <f>'LAIF (incl AFD Remuneration)'!H53/10^6</f>
        <v>0.68079999999999996</v>
      </c>
      <c r="D23" s="124" t="e">
        <f t="shared" si="1"/>
        <v>#REF!</v>
      </c>
    </row>
    <row r="24" spans="2:5" ht="30" x14ac:dyDescent="0.25">
      <c r="B24" s="126" t="s">
        <v>105</v>
      </c>
      <c r="C24" s="132">
        <f>'LAIF (incl AFD Remuneration)'!H54/10^6</f>
        <v>0.12</v>
      </c>
      <c r="D24" s="124" t="e">
        <f t="shared" si="1"/>
        <v>#REF!</v>
      </c>
    </row>
    <row r="25" spans="2:5" x14ac:dyDescent="0.25">
      <c r="B25" s="126" t="s">
        <v>89</v>
      </c>
      <c r="C25" s="132">
        <f>'LAIF (incl AFD Remuneration)'!H55/10^6</f>
        <v>0.08</v>
      </c>
      <c r="D25" s="124" t="e">
        <f t="shared" si="1"/>
        <v>#REF!</v>
      </c>
    </row>
    <row r="26" spans="2:5" ht="15.75" thickBot="1" x14ac:dyDescent="0.3">
      <c r="B26" s="123" t="s">
        <v>192</v>
      </c>
      <c r="C26" s="131">
        <f>'LAIF (incl AFD Remuneration)'!H57/10^6</f>
        <v>0.33600000000000008</v>
      </c>
      <c r="D26" s="121" t="e">
        <f t="shared" si="1"/>
        <v>#REF!</v>
      </c>
    </row>
    <row r="27" spans="2:5" ht="15.75" thickBot="1" x14ac:dyDescent="0.3">
      <c r="B27" s="120" t="s">
        <v>87</v>
      </c>
      <c r="C27" s="119" t="e">
        <f>SUM(C20:C26)</f>
        <v>#REF!</v>
      </c>
      <c r="D27" s="118" t="e">
        <f t="shared" si="1"/>
        <v>#REF!</v>
      </c>
      <c r="E27" s="130"/>
    </row>
    <row r="28" spans="2:5" ht="29.25" thickBot="1" x14ac:dyDescent="0.3">
      <c r="B28" s="129" t="s">
        <v>104</v>
      </c>
      <c r="C28" s="128" t="s">
        <v>179</v>
      </c>
      <c r="D28" s="127" t="s">
        <v>86</v>
      </c>
    </row>
    <row r="29" spans="2:5" x14ac:dyDescent="0.25">
      <c r="B29" s="126" t="s">
        <v>102</v>
      </c>
      <c r="C29" s="125" t="e">
        <f>+C12</f>
        <v>#REF!</v>
      </c>
      <c r="D29" s="124" t="e">
        <f t="shared" ref="D29:D34" si="2">+C29/C$27</f>
        <v>#REF!</v>
      </c>
    </row>
    <row r="30" spans="2:5" x14ac:dyDescent="0.25">
      <c r="B30" s="126" t="s">
        <v>101</v>
      </c>
      <c r="C30" s="125" t="e">
        <f>+C13</f>
        <v>#REF!</v>
      </c>
      <c r="D30" s="124" t="e">
        <f t="shared" si="2"/>
        <v>#REF!</v>
      </c>
    </row>
    <row r="31" spans="2:5" x14ac:dyDescent="0.25">
      <c r="B31" s="126" t="s">
        <v>100</v>
      </c>
      <c r="C31" s="125" t="e">
        <f>+C14</f>
        <v>#REF!</v>
      </c>
      <c r="D31" s="124" t="e">
        <f t="shared" si="2"/>
        <v>#REF!</v>
      </c>
    </row>
    <row r="32" spans="2:5" ht="30" x14ac:dyDescent="0.25">
      <c r="B32" s="126" t="s">
        <v>176</v>
      </c>
      <c r="C32" s="125" t="e">
        <f>+C15</f>
        <v>#REF!</v>
      </c>
      <c r="D32" s="124" t="e">
        <f t="shared" si="2"/>
        <v>#REF!</v>
      </c>
    </row>
    <row r="33" spans="2:9" ht="15.75" thickBot="1" x14ac:dyDescent="0.3">
      <c r="B33" s="123" t="s">
        <v>91</v>
      </c>
      <c r="C33" s="122">
        <f>+C16</f>
        <v>11.536</v>
      </c>
      <c r="D33" s="121" t="e">
        <f t="shared" si="2"/>
        <v>#REF!</v>
      </c>
    </row>
    <row r="34" spans="2:9" ht="15.75" thickBot="1" x14ac:dyDescent="0.3">
      <c r="B34" s="120" t="s">
        <v>87</v>
      </c>
      <c r="C34" s="119" t="e">
        <f>+SUM(C29:C33)</f>
        <v>#REF!</v>
      </c>
      <c r="D34" s="118" t="e">
        <f t="shared" si="2"/>
        <v>#REF!</v>
      </c>
    </row>
    <row r="36" spans="2:9" ht="15.75" thickBot="1" x14ac:dyDescent="0.3"/>
    <row r="37" spans="2:9" ht="43.5" thickBot="1" x14ac:dyDescent="0.3">
      <c r="B37" s="109" t="s">
        <v>99</v>
      </c>
      <c r="C37" s="108" t="s">
        <v>98</v>
      </c>
      <c r="D37" s="107" t="s">
        <v>86</v>
      </c>
      <c r="E37" s="106" t="s">
        <v>95</v>
      </c>
      <c r="F37" s="105" t="s">
        <v>94</v>
      </c>
      <c r="G37" s="105" t="s">
        <v>93</v>
      </c>
      <c r="H37" s="105" t="s">
        <v>92</v>
      </c>
      <c r="I37" s="104" t="s">
        <v>91</v>
      </c>
    </row>
    <row r="38" spans="2:9" ht="45.75" thickBot="1" x14ac:dyDescent="0.3">
      <c r="B38" s="102" t="s">
        <v>186</v>
      </c>
      <c r="C38" s="101" t="e">
        <f>SUM(E38:I38)</f>
        <v>#REF!</v>
      </c>
      <c r="D38" s="117" t="e">
        <f>+C38/C$48</f>
        <v>#REF!</v>
      </c>
      <c r="E38" s="99" t="e">
        <f>+#REF!/10^6</f>
        <v>#REF!</v>
      </c>
      <c r="F38" s="98" t="e">
        <f>+#REF!/10^6+#REF!/10^6</f>
        <v>#REF!</v>
      </c>
      <c r="G38" s="98" t="e">
        <f>+#REF!/10^6</f>
        <v>#REF!</v>
      </c>
      <c r="H38" s="98" t="e">
        <f>+(+#REF!+#REF!)/10^6</f>
        <v>#REF!</v>
      </c>
      <c r="I38" s="103"/>
    </row>
    <row r="39" spans="2:9" ht="15.75" thickBot="1" x14ac:dyDescent="0.3">
      <c r="B39" s="102" t="s">
        <v>195</v>
      </c>
      <c r="C39" s="101" t="e">
        <f t="shared" ref="C39:C44" si="3">SUM(E39:I39)</f>
        <v>#REF!</v>
      </c>
      <c r="D39" s="117" t="e">
        <f>+C39/C$48</f>
        <v>#REF!</v>
      </c>
      <c r="E39" s="99" t="e">
        <f>+#REF!/10^6</f>
        <v>#REF!</v>
      </c>
      <c r="F39" s="98" t="e">
        <f>+(#REF!+#REF!)/10^6</f>
        <v>#REF!</v>
      </c>
      <c r="G39" s="98" t="e">
        <f>+#REF!/10^6</f>
        <v>#REF!</v>
      </c>
      <c r="H39" s="98" t="e">
        <f>+(+#REF!+#REF!)/10^6</f>
        <v>#REF!</v>
      </c>
      <c r="I39" s="116" t="e">
        <f>+#REF!/10^6</f>
        <v>#REF!</v>
      </c>
    </row>
    <row r="40" spans="2:9" x14ac:dyDescent="0.25">
      <c r="B40" s="263" t="s">
        <v>189</v>
      </c>
      <c r="C40" s="258"/>
      <c r="D40" s="124"/>
      <c r="E40" s="259"/>
      <c r="F40" s="260"/>
      <c r="G40" s="260"/>
      <c r="H40" s="260"/>
      <c r="I40" s="262"/>
    </row>
    <row r="41" spans="2:9" x14ac:dyDescent="0.25">
      <c r="B41" s="96" t="s">
        <v>106</v>
      </c>
      <c r="C41" s="115" t="e">
        <f t="shared" si="3"/>
        <v>#REF!</v>
      </c>
      <c r="D41" s="114" t="e">
        <f t="shared" ref="D41:D46" si="4">+C41/C$48</f>
        <v>#REF!</v>
      </c>
      <c r="E41" s="93"/>
      <c r="F41" s="92"/>
      <c r="G41" s="92"/>
      <c r="H41" s="92"/>
      <c r="I41" s="91" t="e">
        <f>+C22</f>
        <v>#REF!</v>
      </c>
    </row>
    <row r="42" spans="2:9" ht="30" x14ac:dyDescent="0.25">
      <c r="B42" s="87" t="s">
        <v>90</v>
      </c>
      <c r="C42" s="112">
        <f t="shared" si="3"/>
        <v>0.68079999999999996</v>
      </c>
      <c r="D42" s="113" t="e">
        <f t="shared" si="4"/>
        <v>#REF!</v>
      </c>
      <c r="E42" s="84"/>
      <c r="F42" s="83"/>
      <c r="G42" s="83"/>
      <c r="H42" s="83"/>
      <c r="I42" s="82">
        <f>+C23</f>
        <v>0.68079999999999996</v>
      </c>
    </row>
    <row r="43" spans="2:9" ht="30" x14ac:dyDescent="0.25">
      <c r="B43" s="87" t="s">
        <v>105</v>
      </c>
      <c r="C43" s="112">
        <f t="shared" si="3"/>
        <v>0.12</v>
      </c>
      <c r="D43" s="113" t="e">
        <f t="shared" si="4"/>
        <v>#REF!</v>
      </c>
      <c r="E43" s="84"/>
      <c r="F43" s="83"/>
      <c r="G43" s="83"/>
      <c r="H43" s="83"/>
      <c r="I43" s="82">
        <f>+C24</f>
        <v>0.12</v>
      </c>
    </row>
    <row r="44" spans="2:9" x14ac:dyDescent="0.25">
      <c r="B44" s="87" t="s">
        <v>89</v>
      </c>
      <c r="C44" s="112">
        <f t="shared" si="3"/>
        <v>0.08</v>
      </c>
      <c r="D44" s="111" t="e">
        <f t="shared" si="4"/>
        <v>#REF!</v>
      </c>
      <c r="E44" s="84"/>
      <c r="F44" s="83"/>
      <c r="G44" s="83"/>
      <c r="H44" s="83"/>
      <c r="I44" s="82">
        <f>+C25</f>
        <v>0.08</v>
      </c>
    </row>
    <row r="45" spans="2:9" ht="15.75" thickBot="1" x14ac:dyDescent="0.3">
      <c r="B45" s="87" t="s">
        <v>193</v>
      </c>
      <c r="C45" s="112">
        <f t="shared" ref="C45" si="5">SUM(E45:I45)</f>
        <v>0.33600000000000008</v>
      </c>
      <c r="D45" s="111" t="e">
        <f t="shared" si="4"/>
        <v>#REF!</v>
      </c>
      <c r="E45" s="84"/>
      <c r="F45" s="83"/>
      <c r="G45" s="83"/>
      <c r="H45" s="83"/>
      <c r="I45" s="82">
        <f>+C26</f>
        <v>0.33600000000000008</v>
      </c>
    </row>
    <row r="46" spans="2:9" s="6" customFormat="1" ht="15.75" thickBot="1" x14ac:dyDescent="0.3">
      <c r="B46" s="264" t="s">
        <v>88</v>
      </c>
      <c r="C46" s="265" t="e">
        <f>+SUM(C41:C45)</f>
        <v>#REF!</v>
      </c>
      <c r="D46" s="266" t="e">
        <f t="shared" si="4"/>
        <v>#REF!</v>
      </c>
      <c r="E46" s="267">
        <f>+SUM(E41:E45)</f>
        <v>0</v>
      </c>
      <c r="F46" s="268">
        <f t="shared" ref="F46:I46" si="6">+SUM(F41:F45)</f>
        <v>0</v>
      </c>
      <c r="G46" s="268">
        <f t="shared" si="6"/>
        <v>0</v>
      </c>
      <c r="H46" s="268">
        <f t="shared" si="6"/>
        <v>0</v>
      </c>
      <c r="I46" s="269" t="e">
        <f t="shared" si="6"/>
        <v>#REF!</v>
      </c>
    </row>
    <row r="47" spans="2:9" s="6" customFormat="1" ht="15.75" thickBot="1" x14ac:dyDescent="0.3">
      <c r="B47" s="264"/>
      <c r="C47" s="265"/>
      <c r="D47" s="266"/>
      <c r="E47" s="267"/>
      <c r="F47" s="268"/>
      <c r="G47" s="268"/>
      <c r="H47" s="268"/>
      <c r="I47" s="269"/>
    </row>
    <row r="48" spans="2:9" ht="15.75" thickBot="1" x14ac:dyDescent="0.3">
      <c r="B48" s="70" t="s">
        <v>87</v>
      </c>
      <c r="C48" s="75" t="e">
        <f>SUM(C38:C45)</f>
        <v>#REF!</v>
      </c>
      <c r="D48" s="74" t="e">
        <f>+C48/C$48</f>
        <v>#REF!</v>
      </c>
      <c r="E48" s="73" t="e">
        <f t="shared" ref="E48:I48" si="7">SUM(E38:E45)</f>
        <v>#REF!</v>
      </c>
      <c r="F48" s="72" t="e">
        <f t="shared" si="7"/>
        <v>#REF!</v>
      </c>
      <c r="G48" s="72" t="e">
        <f t="shared" si="7"/>
        <v>#REF!</v>
      </c>
      <c r="H48" s="72" t="e">
        <f t="shared" si="7"/>
        <v>#REF!</v>
      </c>
      <c r="I48" s="71" t="e">
        <f t="shared" si="7"/>
        <v>#REF!</v>
      </c>
    </row>
    <row r="49" spans="2:20" ht="15.75" thickBot="1" x14ac:dyDescent="0.3">
      <c r="B49" s="70" t="s">
        <v>86</v>
      </c>
      <c r="C49" s="69" t="e">
        <f>+C48/$C48</f>
        <v>#REF!</v>
      </c>
      <c r="D49" s="74"/>
      <c r="E49" s="67" t="e">
        <f>+E48/$C48</f>
        <v>#REF!</v>
      </c>
      <c r="F49" s="66" t="e">
        <f>+F48/$C48</f>
        <v>#REF!</v>
      </c>
      <c r="G49" s="66" t="e">
        <f>+G48/$C48</f>
        <v>#REF!</v>
      </c>
      <c r="H49" s="66" t="e">
        <f>+H48/$C48</f>
        <v>#REF!</v>
      </c>
      <c r="I49" s="65" t="e">
        <f>+I48/$C48</f>
        <v>#REF!</v>
      </c>
    </row>
    <row r="50" spans="2:20" x14ac:dyDescent="0.25">
      <c r="C50" s="270" t="e">
        <f>+C34-C48</f>
        <v>#REF!</v>
      </c>
    </row>
    <row r="51" spans="2:20" ht="15.75" thickBot="1" x14ac:dyDescent="0.3">
      <c r="D51" s="110"/>
    </row>
    <row r="52" spans="2:20" ht="43.5" thickBot="1" x14ac:dyDescent="0.3">
      <c r="B52" s="109" t="s">
        <v>97</v>
      </c>
      <c r="C52" s="108" t="s">
        <v>96</v>
      </c>
      <c r="D52" s="107" t="s">
        <v>86</v>
      </c>
      <c r="E52" s="106" t="s">
        <v>95</v>
      </c>
      <c r="F52" s="105" t="s">
        <v>94</v>
      </c>
      <c r="G52" s="105" t="s">
        <v>93</v>
      </c>
      <c r="H52" s="105" t="s">
        <v>92</v>
      </c>
      <c r="I52" s="104" t="s">
        <v>91</v>
      </c>
    </row>
    <row r="53" spans="2:20" ht="45.75" thickBot="1" x14ac:dyDescent="0.3">
      <c r="B53" s="102" t="s">
        <v>187</v>
      </c>
      <c r="C53" s="273" t="e">
        <f>+C38/$D$5</f>
        <v>#REF!</v>
      </c>
      <c r="D53" s="100" t="e">
        <f>+C53/C$63</f>
        <v>#REF!</v>
      </c>
      <c r="E53" s="277" t="e">
        <f t="shared" ref="E53:H54" si="8">+E38/$D$5</f>
        <v>#REF!</v>
      </c>
      <c r="F53" s="278" t="e">
        <f t="shared" si="8"/>
        <v>#REF!</v>
      </c>
      <c r="G53" s="278" t="e">
        <f t="shared" si="8"/>
        <v>#REF!</v>
      </c>
      <c r="H53" s="278" t="e">
        <f t="shared" si="8"/>
        <v>#REF!</v>
      </c>
      <c r="I53" s="279"/>
    </row>
    <row r="54" spans="2:20" ht="15.75" thickBot="1" x14ac:dyDescent="0.3">
      <c r="B54" s="102" t="s">
        <v>188</v>
      </c>
      <c r="C54" s="273" t="e">
        <f>+C39/$D$5</f>
        <v>#REF!</v>
      </c>
      <c r="D54" s="100" t="e">
        <f>+C54/C$63</f>
        <v>#REF!</v>
      </c>
      <c r="E54" s="277" t="e">
        <f t="shared" si="8"/>
        <v>#REF!</v>
      </c>
      <c r="F54" s="278" t="e">
        <f t="shared" si="8"/>
        <v>#REF!</v>
      </c>
      <c r="G54" s="278" t="e">
        <f t="shared" si="8"/>
        <v>#REF!</v>
      </c>
      <c r="H54" s="278" t="e">
        <f t="shared" si="8"/>
        <v>#REF!</v>
      </c>
      <c r="I54" s="280" t="e">
        <f>+I39/$D$5</f>
        <v>#REF!</v>
      </c>
      <c r="T54">
        <v>1.8</v>
      </c>
    </row>
    <row r="55" spans="2:20" x14ac:dyDescent="0.25">
      <c r="B55" s="263" t="s">
        <v>189</v>
      </c>
      <c r="C55" s="125"/>
      <c r="D55" s="261"/>
      <c r="E55" s="281"/>
      <c r="F55" s="303"/>
      <c r="G55" s="303"/>
      <c r="H55" s="303"/>
      <c r="I55" s="282"/>
    </row>
    <row r="56" spans="2:20" x14ac:dyDescent="0.25">
      <c r="B56" s="96" t="s">
        <v>106</v>
      </c>
      <c r="C56" s="272" t="e">
        <f>+C41/$D$5</f>
        <v>#REF!</v>
      </c>
      <c r="D56" s="94" t="e">
        <f>+C56/C$63</f>
        <v>#REF!</v>
      </c>
      <c r="E56" s="283"/>
      <c r="F56" s="284"/>
      <c r="G56" s="284"/>
      <c r="H56" s="284"/>
      <c r="I56" s="285" t="e">
        <f>+I41/$D$5</f>
        <v>#REF!</v>
      </c>
      <c r="T56">
        <v>7.4</v>
      </c>
    </row>
    <row r="57" spans="2:20" ht="30" x14ac:dyDescent="0.25">
      <c r="B57" s="87" t="s">
        <v>90</v>
      </c>
      <c r="C57" s="274">
        <f>+C42/$D$5</f>
        <v>0.60785714285714276</v>
      </c>
      <c r="D57" s="88" t="e">
        <f>+C57/C$63</f>
        <v>#REF!</v>
      </c>
      <c r="E57" s="286"/>
      <c r="F57" s="287"/>
      <c r="G57" s="287"/>
      <c r="H57" s="287"/>
      <c r="I57" s="288">
        <f>+I42/$D$5</f>
        <v>0.60785714285714276</v>
      </c>
      <c r="T57">
        <v>0.6</v>
      </c>
    </row>
    <row r="58" spans="2:20" ht="30" x14ac:dyDescent="0.25">
      <c r="B58" s="87" t="s">
        <v>105</v>
      </c>
      <c r="C58" s="274">
        <f>+C43/$D$5</f>
        <v>0.10714285714285712</v>
      </c>
      <c r="D58" s="88" t="e">
        <f>+C58/C$63</f>
        <v>#REF!</v>
      </c>
      <c r="E58" s="289"/>
      <c r="F58" s="290"/>
      <c r="G58" s="290"/>
      <c r="H58" s="290"/>
      <c r="I58" s="288">
        <f>+I43/$D$5</f>
        <v>0.10714285714285712</v>
      </c>
      <c r="T58">
        <v>0.1</v>
      </c>
    </row>
    <row r="59" spans="2:20" x14ac:dyDescent="0.25">
      <c r="B59" s="87" t="s">
        <v>89</v>
      </c>
      <c r="C59" s="274">
        <f>+C44/$D$5</f>
        <v>7.1428571428571425E-2</v>
      </c>
      <c r="D59" s="85" t="e">
        <f>+C59/C$63</f>
        <v>#REF!</v>
      </c>
      <c r="E59" s="289"/>
      <c r="F59" s="290"/>
      <c r="G59" s="290"/>
      <c r="H59" s="290"/>
      <c r="I59" s="288">
        <f>+I44/$D$5</f>
        <v>7.1428571428571425E-2</v>
      </c>
      <c r="T59">
        <v>0.1</v>
      </c>
    </row>
    <row r="60" spans="2:20" ht="15.75" thickBot="1" x14ac:dyDescent="0.3">
      <c r="B60" s="87" t="s">
        <v>193</v>
      </c>
      <c r="C60" s="274">
        <f>+C45/$D$5</f>
        <v>0.30000000000000004</v>
      </c>
      <c r="D60" s="85" t="e">
        <f>+C60/C$63</f>
        <v>#REF!</v>
      </c>
      <c r="E60" s="289"/>
      <c r="F60" s="290"/>
      <c r="G60" s="290"/>
      <c r="H60" s="290"/>
      <c r="I60" s="288">
        <f>+I45/$D$5</f>
        <v>0.30000000000000004</v>
      </c>
      <c r="T60">
        <v>0.1</v>
      </c>
    </row>
    <row r="61" spans="2:20" s="6" customFormat="1" ht="15.75" thickBot="1" x14ac:dyDescent="0.3">
      <c r="B61" s="297" t="s">
        <v>88</v>
      </c>
      <c r="C61" s="298" t="e">
        <f>+SUM(C56:C60)</f>
        <v>#REF!</v>
      </c>
      <c r="D61" s="299" t="e">
        <f>+C61/C$48</f>
        <v>#REF!</v>
      </c>
      <c r="E61" s="300">
        <f>+SUM(E56:E60)</f>
        <v>0</v>
      </c>
      <c r="F61" s="301">
        <f t="shared" ref="F61" si="9">+SUM(F56:F60)</f>
        <v>0</v>
      </c>
      <c r="G61" s="301">
        <f t="shared" ref="G61" si="10">+SUM(G56:G60)</f>
        <v>0</v>
      </c>
      <c r="H61" s="301">
        <f t="shared" ref="H61" si="11">+SUM(H56:H60)</f>
        <v>0</v>
      </c>
      <c r="I61" s="302" t="e">
        <f t="shared" ref="I61" si="12">+SUM(I56:I60)</f>
        <v>#REF!</v>
      </c>
    </row>
    <row r="62" spans="2:20" s="6" customFormat="1" ht="15.75" thickBot="1" x14ac:dyDescent="0.3">
      <c r="B62" s="264"/>
      <c r="C62" s="275"/>
      <c r="D62" s="266"/>
      <c r="E62" s="291"/>
      <c r="F62" s="292"/>
      <c r="G62" s="292"/>
      <c r="H62" s="292"/>
      <c r="I62" s="293"/>
    </row>
    <row r="63" spans="2:20" ht="15.75" thickBot="1" x14ac:dyDescent="0.3">
      <c r="B63" s="70" t="s">
        <v>87</v>
      </c>
      <c r="C63" s="276" t="e">
        <f>SUM(C53:C60)</f>
        <v>#REF!</v>
      </c>
      <c r="D63" s="74" t="e">
        <f>+C63/C$48</f>
        <v>#REF!</v>
      </c>
      <c r="E63" s="294" t="e">
        <f t="shared" ref="E63:I63" si="13">SUM(E53:E60)</f>
        <v>#REF!</v>
      </c>
      <c r="F63" s="295" t="e">
        <f t="shared" si="13"/>
        <v>#REF!</v>
      </c>
      <c r="G63" s="295" t="e">
        <f t="shared" si="13"/>
        <v>#REF!</v>
      </c>
      <c r="H63" s="295" t="e">
        <f t="shared" si="13"/>
        <v>#REF!</v>
      </c>
      <c r="I63" s="296" t="e">
        <f t="shared" si="13"/>
        <v>#REF!</v>
      </c>
    </row>
    <row r="64" spans="2:20" ht="15.75" thickBot="1" x14ac:dyDescent="0.3">
      <c r="B64" s="70" t="s">
        <v>86</v>
      </c>
      <c r="C64" s="69" t="e">
        <f>+C63/$C63</f>
        <v>#REF!</v>
      </c>
      <c r="D64" s="74"/>
      <c r="E64" s="67" t="e">
        <f>+E63/$C63</f>
        <v>#REF!</v>
      </c>
      <c r="F64" s="66" t="e">
        <f>+F63/$C63</f>
        <v>#REF!</v>
      </c>
      <c r="G64" s="66" t="e">
        <f>+G63/$C63</f>
        <v>#REF!</v>
      </c>
      <c r="H64" s="66" t="e">
        <f>+H63/$C63</f>
        <v>#REF!</v>
      </c>
      <c r="I64" s="65" t="e">
        <f>+I63/$C63</f>
        <v>#REF!</v>
      </c>
    </row>
    <row r="66" spans="1:12" ht="15.75" thickBot="1" x14ac:dyDescent="0.3"/>
    <row r="67" spans="1:12" ht="26.25" thickBot="1" x14ac:dyDescent="0.3">
      <c r="A67" s="893">
        <v>24</v>
      </c>
      <c r="B67" s="896" t="s">
        <v>85</v>
      </c>
      <c r="C67" s="897"/>
      <c r="D67" s="897"/>
      <c r="E67" s="897"/>
      <c r="F67" s="897"/>
      <c r="G67" s="898"/>
      <c r="H67" s="34" t="s">
        <v>84</v>
      </c>
      <c r="I67" s="34" t="s">
        <v>70</v>
      </c>
      <c r="J67" s="34" t="s">
        <v>83</v>
      </c>
      <c r="K67" s="34" t="s">
        <v>180</v>
      </c>
      <c r="L67" s="64" t="s">
        <v>82</v>
      </c>
    </row>
    <row r="68" spans="1:12" x14ac:dyDescent="0.25">
      <c r="A68" s="894"/>
      <c r="B68" s="899" t="s">
        <v>81</v>
      </c>
      <c r="C68" s="900"/>
      <c r="D68" s="900"/>
      <c r="E68" s="900"/>
      <c r="F68" s="900"/>
      <c r="G68" s="901"/>
      <c r="H68" s="63" t="e">
        <f>+C38</f>
        <v>#REF!</v>
      </c>
      <c r="I68" s="63" t="e">
        <f>+C53</f>
        <v>#REF!</v>
      </c>
      <c r="J68" s="63" t="e">
        <f>+E53</f>
        <v>#REF!</v>
      </c>
      <c r="K68" s="63" t="e">
        <f>+J68*D$5</f>
        <v>#REF!</v>
      </c>
      <c r="L68" s="62" t="e">
        <f>+J68/J$68</f>
        <v>#REF!</v>
      </c>
    </row>
    <row r="69" spans="1:12" x14ac:dyDescent="0.25">
      <c r="A69" s="894"/>
      <c r="B69" s="902"/>
      <c r="C69" s="903"/>
      <c r="D69" s="903"/>
      <c r="E69" s="903"/>
      <c r="F69" s="903"/>
      <c r="G69" s="904"/>
      <c r="H69" s="61"/>
      <c r="I69" s="61"/>
      <c r="J69" s="61"/>
      <c r="K69" s="61"/>
      <c r="L69" s="60"/>
    </row>
    <row r="70" spans="1:12" x14ac:dyDescent="0.25">
      <c r="A70" s="894"/>
      <c r="B70" s="902"/>
      <c r="C70" s="903"/>
      <c r="D70" s="903"/>
      <c r="E70" s="903"/>
      <c r="F70" s="903"/>
      <c r="G70" s="904"/>
      <c r="H70" s="61"/>
      <c r="I70" s="61"/>
      <c r="J70" s="61"/>
      <c r="K70" s="61"/>
      <c r="L70" s="60"/>
    </row>
    <row r="71" spans="1:12" x14ac:dyDescent="0.25">
      <c r="A71" s="894"/>
      <c r="B71" s="902"/>
      <c r="C71" s="903"/>
      <c r="D71" s="903"/>
      <c r="E71" s="903"/>
      <c r="F71" s="903"/>
      <c r="G71" s="904"/>
      <c r="H71" s="61"/>
      <c r="I71" s="61"/>
      <c r="J71" s="61"/>
      <c r="K71" s="61"/>
      <c r="L71" s="60"/>
    </row>
    <row r="72" spans="1:12" x14ac:dyDescent="0.25">
      <c r="A72" s="894"/>
      <c r="B72" s="902"/>
      <c r="C72" s="903"/>
      <c r="D72" s="903"/>
      <c r="E72" s="903"/>
      <c r="F72" s="903"/>
      <c r="G72" s="904"/>
      <c r="H72" s="61"/>
      <c r="I72" s="61"/>
      <c r="J72" s="61"/>
      <c r="K72" s="61"/>
      <c r="L72" s="60"/>
    </row>
    <row r="73" spans="1:12" x14ac:dyDescent="0.25">
      <c r="A73" s="894"/>
      <c r="B73" s="902"/>
      <c r="C73" s="903"/>
      <c r="D73" s="903"/>
      <c r="E73" s="903"/>
      <c r="F73" s="903"/>
      <c r="G73" s="904"/>
      <c r="H73" s="61"/>
      <c r="I73" s="61"/>
      <c r="J73" s="61"/>
      <c r="K73" s="61"/>
      <c r="L73" s="60"/>
    </row>
    <row r="74" spans="1:12" x14ac:dyDescent="0.25">
      <c r="A74" s="894"/>
      <c r="B74" s="902"/>
      <c r="C74" s="903"/>
      <c r="D74" s="903"/>
      <c r="E74" s="903"/>
      <c r="F74" s="903"/>
      <c r="G74" s="904"/>
      <c r="H74" s="61"/>
      <c r="I74" s="61"/>
      <c r="J74" s="61"/>
      <c r="K74" s="61"/>
      <c r="L74" s="60"/>
    </row>
    <row r="75" spans="1:12" x14ac:dyDescent="0.25">
      <c r="A75" s="894"/>
      <c r="B75" s="902"/>
      <c r="C75" s="903"/>
      <c r="D75" s="903"/>
      <c r="E75" s="903"/>
      <c r="F75" s="903"/>
      <c r="G75" s="904"/>
      <c r="H75" s="61"/>
      <c r="I75" s="61"/>
      <c r="J75" s="61"/>
      <c r="K75" s="61"/>
      <c r="L75" s="60"/>
    </row>
    <row r="76" spans="1:12" ht="15.75" thickBot="1" x14ac:dyDescent="0.3">
      <c r="A76" s="894"/>
      <c r="B76" s="905"/>
      <c r="C76" s="906"/>
      <c r="D76" s="906"/>
      <c r="E76" s="906"/>
      <c r="F76" s="906"/>
      <c r="G76" s="907"/>
      <c r="H76" s="59"/>
      <c r="I76" s="59"/>
      <c r="J76" s="59"/>
      <c r="K76" s="59"/>
      <c r="L76" s="58"/>
    </row>
    <row r="77" spans="1:12" ht="15.75" thickBot="1" x14ac:dyDescent="0.3">
      <c r="A77" s="894"/>
      <c r="B77" s="890" t="s">
        <v>80</v>
      </c>
      <c r="C77" s="891"/>
      <c r="D77" s="891"/>
      <c r="E77" s="891"/>
      <c r="F77" s="891"/>
      <c r="G77" s="892"/>
      <c r="H77" s="57" t="e">
        <f t="shared" ref="H77:H84" si="14">+I77*$D$5</f>
        <v>#REF!</v>
      </c>
      <c r="I77" s="57" t="e">
        <f>+I78+I79+I80</f>
        <v>#REF!</v>
      </c>
      <c r="J77" s="57" t="e">
        <f>+J78+J79+J80</f>
        <v>#REF!</v>
      </c>
      <c r="K77" s="57" t="e">
        <f t="shared" ref="K77:K84" si="15">+J77*D$5</f>
        <v>#REF!</v>
      </c>
      <c r="L77" s="56"/>
    </row>
    <row r="78" spans="1:12" ht="15.75" customHeight="1" thickBot="1" x14ac:dyDescent="0.3">
      <c r="A78" s="894"/>
      <c r="B78" s="908" t="s">
        <v>79</v>
      </c>
      <c r="C78" s="909"/>
      <c r="D78" s="909"/>
      <c r="E78" s="909"/>
      <c r="F78" s="909"/>
      <c r="G78" s="910"/>
      <c r="H78" s="55" t="e">
        <f t="shared" si="14"/>
        <v>#REF!</v>
      </c>
      <c r="I78" s="55" t="e">
        <f>+C54</f>
        <v>#REF!</v>
      </c>
      <c r="J78" s="55" t="e">
        <f>+D54</f>
        <v>#REF!</v>
      </c>
      <c r="K78" s="55" t="e">
        <f t="shared" si="15"/>
        <v>#REF!</v>
      </c>
      <c r="L78" s="54"/>
    </row>
    <row r="79" spans="1:12" ht="15.75" thickBot="1" x14ac:dyDescent="0.3">
      <c r="A79" s="894"/>
      <c r="B79" s="908" t="s">
        <v>78</v>
      </c>
      <c r="C79" s="909"/>
      <c r="D79" s="909"/>
      <c r="E79" s="909"/>
      <c r="F79" s="909"/>
      <c r="G79" s="910"/>
      <c r="H79" s="55" t="e">
        <f t="shared" si="14"/>
        <v>#REF!</v>
      </c>
      <c r="I79" s="55" t="e">
        <f t="shared" ref="I79:J82" si="16">+C56</f>
        <v>#REF!</v>
      </c>
      <c r="J79" s="55" t="e">
        <f t="shared" si="16"/>
        <v>#REF!</v>
      </c>
      <c r="K79" s="55" t="e">
        <f t="shared" si="15"/>
        <v>#REF!</v>
      </c>
      <c r="L79" s="54"/>
    </row>
    <row r="80" spans="1:12" ht="15.75" customHeight="1" thickBot="1" x14ac:dyDescent="0.3">
      <c r="A80" s="894"/>
      <c r="B80" s="908" t="s">
        <v>77</v>
      </c>
      <c r="C80" s="909"/>
      <c r="D80" s="909"/>
      <c r="E80" s="909"/>
      <c r="F80" s="909"/>
      <c r="G80" s="910"/>
      <c r="H80" s="55">
        <f t="shared" si="14"/>
        <v>0.68079999999999996</v>
      </c>
      <c r="I80" s="55">
        <f t="shared" si="16"/>
        <v>0.60785714285714276</v>
      </c>
      <c r="J80" s="55" t="e">
        <f t="shared" si="16"/>
        <v>#REF!</v>
      </c>
      <c r="K80" s="55" t="e">
        <f t="shared" si="15"/>
        <v>#REF!</v>
      </c>
      <c r="L80" s="54"/>
    </row>
    <row r="81" spans="1:12" ht="15.75" thickBot="1" x14ac:dyDescent="0.3">
      <c r="A81" s="894"/>
      <c r="B81" s="890" t="s">
        <v>76</v>
      </c>
      <c r="C81" s="891"/>
      <c r="D81" s="891"/>
      <c r="E81" s="891"/>
      <c r="F81" s="891"/>
      <c r="G81" s="892"/>
      <c r="H81" s="53">
        <f t="shared" si="14"/>
        <v>0.12</v>
      </c>
      <c r="I81" s="53">
        <f t="shared" si="16"/>
        <v>0.10714285714285712</v>
      </c>
      <c r="J81" s="53" t="e">
        <f t="shared" si="16"/>
        <v>#REF!</v>
      </c>
      <c r="K81" s="53" t="e">
        <f t="shared" si="15"/>
        <v>#REF!</v>
      </c>
      <c r="L81" s="52"/>
    </row>
    <row r="82" spans="1:12" ht="15.75" thickBot="1" x14ac:dyDescent="0.3">
      <c r="A82" s="894"/>
      <c r="B82" s="890" t="s">
        <v>75</v>
      </c>
      <c r="C82" s="891"/>
      <c r="D82" s="891"/>
      <c r="E82" s="891"/>
      <c r="F82" s="891"/>
      <c r="G82" s="892"/>
      <c r="H82" s="53">
        <f t="shared" si="14"/>
        <v>0.08</v>
      </c>
      <c r="I82" s="53">
        <f t="shared" si="16"/>
        <v>7.1428571428571425E-2</v>
      </c>
      <c r="J82" s="53" t="e">
        <f t="shared" si="16"/>
        <v>#REF!</v>
      </c>
      <c r="K82" s="53" t="e">
        <f t="shared" si="15"/>
        <v>#REF!</v>
      </c>
      <c r="L82" s="52"/>
    </row>
    <row r="83" spans="1:12" ht="15.75" customHeight="1" outlineLevel="1" thickBot="1" x14ac:dyDescent="0.3">
      <c r="A83" s="894"/>
      <c r="B83" s="890" t="s">
        <v>74</v>
      </c>
      <c r="C83" s="891"/>
      <c r="D83" s="891"/>
      <c r="E83" s="891"/>
      <c r="F83" s="891"/>
      <c r="G83" s="892"/>
      <c r="H83" s="51">
        <f t="shared" si="14"/>
        <v>0</v>
      </c>
      <c r="I83" s="51"/>
      <c r="J83" s="51"/>
      <c r="K83" s="51">
        <f t="shared" si="15"/>
        <v>0</v>
      </c>
      <c r="L83" s="50"/>
    </row>
    <row r="84" spans="1:12" ht="15.75" thickBot="1" x14ac:dyDescent="0.3">
      <c r="A84" s="895"/>
      <c r="B84" s="890" t="s">
        <v>73</v>
      </c>
      <c r="C84" s="891"/>
      <c r="D84" s="891"/>
      <c r="E84" s="891"/>
      <c r="F84" s="891"/>
      <c r="G84" s="892"/>
      <c r="H84" s="51" t="e">
        <f t="shared" si="14"/>
        <v>#REF!</v>
      </c>
      <c r="I84" s="51" t="e">
        <f>+I68+I77+I81+I82</f>
        <v>#REF!</v>
      </c>
      <c r="J84" s="51" t="e">
        <f>+J68+J77+J81+J82</f>
        <v>#REF!</v>
      </c>
      <c r="K84" s="51" t="e">
        <f t="shared" si="15"/>
        <v>#REF!</v>
      </c>
      <c r="L84" s="50"/>
    </row>
    <row r="89" spans="1:12" ht="15.75" thickBot="1" x14ac:dyDescent="0.3"/>
    <row r="90" spans="1:12" ht="15.75" thickBot="1" x14ac:dyDescent="0.3">
      <c r="A90" s="893" t="s">
        <v>72</v>
      </c>
      <c r="B90" s="890" t="s">
        <v>71</v>
      </c>
      <c r="C90" s="891"/>
      <c r="D90" s="891"/>
      <c r="E90" s="891"/>
      <c r="F90" s="891"/>
      <c r="G90" s="892"/>
      <c r="H90" s="49" t="s">
        <v>70</v>
      </c>
    </row>
    <row r="91" spans="1:12" ht="36.75" thickBot="1" x14ac:dyDescent="0.3">
      <c r="A91" s="894"/>
      <c r="B91" s="255"/>
      <c r="C91" s="48" t="s">
        <v>69</v>
      </c>
      <c r="D91" s="913" t="s">
        <v>68</v>
      </c>
      <c r="E91" s="914"/>
      <c r="F91" s="48" t="s">
        <v>67</v>
      </c>
      <c r="G91" s="48" t="s">
        <v>66</v>
      </c>
      <c r="H91" s="48"/>
    </row>
    <row r="92" spans="1:12" ht="25.5" x14ac:dyDescent="0.25">
      <c r="A92" s="894"/>
      <c r="B92" s="45" t="s">
        <v>65</v>
      </c>
      <c r="C92" s="44" t="e">
        <f>+I63</f>
        <v>#REF!</v>
      </c>
      <c r="D92" s="47" t="s">
        <v>49</v>
      </c>
      <c r="E92" s="46"/>
      <c r="F92" s="45" t="s">
        <v>64</v>
      </c>
      <c r="G92" s="45" t="s">
        <v>63</v>
      </c>
      <c r="H92" s="44" t="e">
        <f>+C92</f>
        <v>#REF!</v>
      </c>
    </row>
    <row r="93" spans="1:12" s="5" customFormat="1" x14ac:dyDescent="0.25">
      <c r="A93" s="894"/>
      <c r="B93" s="40" t="s">
        <v>62</v>
      </c>
      <c r="C93" s="41">
        <v>0</v>
      </c>
      <c r="D93" s="43"/>
      <c r="E93" s="42"/>
      <c r="F93" s="42"/>
      <c r="G93" s="42"/>
      <c r="H93" s="41"/>
    </row>
    <row r="94" spans="1:12" s="5" customFormat="1" x14ac:dyDescent="0.25">
      <c r="A94" s="894"/>
      <c r="B94" s="40" t="s">
        <v>61</v>
      </c>
      <c r="C94" s="35" t="e">
        <f>+I54</f>
        <v>#REF!</v>
      </c>
      <c r="D94" s="39"/>
      <c r="E94" s="35"/>
      <c r="F94" s="35"/>
      <c r="G94" s="35"/>
      <c r="H94" s="35" t="e">
        <f t="shared" ref="H94:H99" si="17">+C94</f>
        <v>#REF!</v>
      </c>
    </row>
    <row r="95" spans="1:12" s="5" customFormat="1" x14ac:dyDescent="0.25">
      <c r="A95" s="894"/>
      <c r="B95" s="40" t="s">
        <v>60</v>
      </c>
      <c r="C95" s="35" t="e">
        <f>+I56</f>
        <v>#REF!</v>
      </c>
      <c r="D95" s="39"/>
      <c r="E95" s="35"/>
      <c r="F95" s="35"/>
      <c r="G95" s="35"/>
      <c r="H95" s="35" t="e">
        <f t="shared" si="17"/>
        <v>#REF!</v>
      </c>
    </row>
    <row r="96" spans="1:12" s="5" customFormat="1" x14ac:dyDescent="0.25">
      <c r="A96" s="894"/>
      <c r="B96" s="40" t="s">
        <v>59</v>
      </c>
      <c r="C96" s="35">
        <f>+I57</f>
        <v>0.60785714285714276</v>
      </c>
      <c r="D96" s="39"/>
      <c r="E96" s="35"/>
      <c r="F96" s="35"/>
      <c r="G96" s="35"/>
      <c r="H96" s="35">
        <f t="shared" si="17"/>
        <v>0.60785714285714276</v>
      </c>
    </row>
    <row r="97" spans="1:8" s="5" customFormat="1" ht="25.5" x14ac:dyDescent="0.25">
      <c r="A97" s="894"/>
      <c r="B97" s="40" t="s">
        <v>58</v>
      </c>
      <c r="C97" s="35">
        <f>+I58</f>
        <v>0.10714285714285712</v>
      </c>
      <c r="D97" s="39"/>
      <c r="E97" s="35"/>
      <c r="F97" s="35"/>
      <c r="G97" s="35" t="s">
        <v>57</v>
      </c>
      <c r="H97" s="35">
        <f t="shared" si="17"/>
        <v>0.10714285714285712</v>
      </c>
    </row>
    <row r="98" spans="1:8" s="5" customFormat="1" ht="15.75" thickBot="1" x14ac:dyDescent="0.3">
      <c r="A98" s="894"/>
      <c r="B98" s="38" t="s">
        <v>56</v>
      </c>
      <c r="C98" s="35">
        <f>+I59</f>
        <v>7.1428571428571425E-2</v>
      </c>
      <c r="D98" s="37"/>
      <c r="E98" s="36"/>
      <c r="F98" s="36"/>
      <c r="G98" s="36" t="s">
        <v>55</v>
      </c>
      <c r="H98" s="35">
        <f t="shared" si="17"/>
        <v>7.1428571428571425E-2</v>
      </c>
    </row>
    <row r="99" spans="1:8" s="6" customFormat="1" ht="51.75" thickBot="1" x14ac:dyDescent="0.3">
      <c r="A99" s="894"/>
      <c r="B99" s="34" t="s">
        <v>54</v>
      </c>
      <c r="C99" s="32" t="e">
        <f>+E63</f>
        <v>#REF!</v>
      </c>
      <c r="D99" s="890" t="s">
        <v>51</v>
      </c>
      <c r="E99" s="892"/>
      <c r="F99" s="253" t="s">
        <v>45</v>
      </c>
      <c r="G99" s="253" t="s">
        <v>53</v>
      </c>
      <c r="H99" s="32" t="e">
        <f t="shared" si="17"/>
        <v>#REF!</v>
      </c>
    </row>
    <row r="100" spans="1:8" ht="15.75" thickBot="1" x14ac:dyDescent="0.3">
      <c r="A100" s="894"/>
      <c r="B100" s="255"/>
      <c r="C100" s="255"/>
      <c r="D100" s="915"/>
      <c r="E100" s="916"/>
      <c r="F100" s="255"/>
      <c r="G100" s="255"/>
      <c r="H100" s="255"/>
    </row>
    <row r="101" spans="1:8" s="6" customFormat="1" ht="15.75" thickBot="1" x14ac:dyDescent="0.3">
      <c r="A101" s="894"/>
      <c r="B101" s="31" t="s">
        <v>52</v>
      </c>
      <c r="C101" s="24" t="e">
        <f>+SUM(C92,C99,C100)</f>
        <v>#REF!</v>
      </c>
      <c r="D101" s="917"/>
      <c r="E101" s="918"/>
      <c r="F101" s="24"/>
      <c r="G101" s="24"/>
      <c r="H101" s="24" t="e">
        <f>+SUM(H92,H99,H100)</f>
        <v>#REF!</v>
      </c>
    </row>
    <row r="102" spans="1:8" ht="15.75" thickBot="1" x14ac:dyDescent="0.3">
      <c r="A102" s="894"/>
      <c r="B102" s="255" t="s">
        <v>181</v>
      </c>
      <c r="C102" s="27" t="e">
        <f>+G63</f>
        <v>#REF!</v>
      </c>
      <c r="D102" s="30" t="s">
        <v>51</v>
      </c>
      <c r="E102" s="29" t="s">
        <v>49</v>
      </c>
      <c r="F102" s="27"/>
      <c r="G102" s="27"/>
      <c r="H102" s="27" t="e">
        <f>+C102</f>
        <v>#REF!</v>
      </c>
    </row>
    <row r="103" spans="1:8" ht="26.25" thickBot="1" x14ac:dyDescent="0.3">
      <c r="A103" s="894"/>
      <c r="B103" s="255" t="s">
        <v>50</v>
      </c>
      <c r="C103" s="27" t="e">
        <f>+F63</f>
        <v>#REF!</v>
      </c>
      <c r="D103" s="919" t="s">
        <v>49</v>
      </c>
      <c r="E103" s="920"/>
      <c r="F103" s="27" t="s">
        <v>48</v>
      </c>
      <c r="G103" s="27" t="s">
        <v>44</v>
      </c>
      <c r="H103" s="27" t="e">
        <f>+C103</f>
        <v>#REF!</v>
      </c>
    </row>
    <row r="104" spans="1:8" ht="26.25" thickBot="1" x14ac:dyDescent="0.3">
      <c r="A104" s="894"/>
      <c r="B104" s="255" t="s">
        <v>47</v>
      </c>
      <c r="C104" s="27" t="e">
        <f>+H63</f>
        <v>#REF!</v>
      </c>
      <c r="D104" s="919" t="s">
        <v>46</v>
      </c>
      <c r="E104" s="920"/>
      <c r="F104" s="254" t="s">
        <v>45</v>
      </c>
      <c r="G104" s="27" t="s">
        <v>44</v>
      </c>
      <c r="H104" s="27" t="e">
        <f>+C104</f>
        <v>#REF!</v>
      </c>
    </row>
    <row r="105" spans="1:8" ht="15.75" customHeight="1" thickBot="1" x14ac:dyDescent="0.3">
      <c r="A105" s="894"/>
      <c r="B105" s="255" t="s">
        <v>43</v>
      </c>
      <c r="C105" s="27"/>
      <c r="D105" s="919" t="s">
        <v>42</v>
      </c>
      <c r="E105" s="920"/>
      <c r="F105" s="27"/>
      <c r="G105" s="27"/>
      <c r="H105" s="27"/>
    </row>
    <row r="106" spans="1:8" s="6" customFormat="1" ht="15.75" thickBot="1" x14ac:dyDescent="0.3">
      <c r="A106" s="894"/>
      <c r="B106" s="26" t="s">
        <v>41</v>
      </c>
      <c r="C106" s="24" t="e">
        <f>+SUM(C102:C105)</f>
        <v>#REF!</v>
      </c>
      <c r="D106" s="917"/>
      <c r="E106" s="918"/>
      <c r="F106" s="24"/>
      <c r="G106" s="24"/>
      <c r="H106" s="24" t="e">
        <f>+SUM(H102:H105)</f>
        <v>#REF!</v>
      </c>
    </row>
    <row r="107" spans="1:8" s="6" customFormat="1" ht="15.75" thickBot="1" x14ac:dyDescent="0.3">
      <c r="A107" s="894"/>
      <c r="B107" s="25" t="s">
        <v>40</v>
      </c>
      <c r="C107" s="24" t="e">
        <f>+C106+C101</f>
        <v>#REF!</v>
      </c>
      <c r="D107" s="917"/>
      <c r="E107" s="918"/>
      <c r="F107" s="24"/>
      <c r="G107" s="24"/>
      <c r="H107" s="24" t="e">
        <f>+H106+H101</f>
        <v>#REF!</v>
      </c>
    </row>
    <row r="108" spans="1:8" ht="15.75" thickBot="1" x14ac:dyDescent="0.3">
      <c r="A108" s="894"/>
      <c r="B108" s="23" t="s">
        <v>39</v>
      </c>
      <c r="C108" s="20"/>
      <c r="D108" s="911"/>
      <c r="E108" s="912"/>
      <c r="F108" s="20"/>
      <c r="G108" s="20"/>
      <c r="H108" s="20"/>
    </row>
    <row r="109" spans="1:8" ht="15.75" thickBot="1" x14ac:dyDescent="0.3">
      <c r="A109" s="894"/>
      <c r="B109" s="22" t="s">
        <v>38</v>
      </c>
      <c r="C109" s="20"/>
      <c r="D109" s="911"/>
      <c r="E109" s="912"/>
      <c r="F109" s="20"/>
      <c r="G109" s="20"/>
      <c r="H109" s="20"/>
    </row>
    <row r="110" spans="1:8" ht="15.75" thickBot="1" x14ac:dyDescent="0.3">
      <c r="A110" s="894"/>
      <c r="B110" s="22" t="s">
        <v>37</v>
      </c>
      <c r="C110" s="20"/>
      <c r="D110" s="911"/>
      <c r="E110" s="912"/>
      <c r="F110" s="20"/>
      <c r="G110" s="20"/>
      <c r="H110" s="20"/>
    </row>
    <row r="111" spans="1:8" ht="15.75" thickBot="1" x14ac:dyDescent="0.3">
      <c r="A111" s="894"/>
      <c r="B111" s="22" t="s">
        <v>36</v>
      </c>
      <c r="C111" s="20"/>
      <c r="D111" s="911"/>
      <c r="E111" s="912"/>
      <c r="F111" s="20"/>
      <c r="G111" s="20"/>
      <c r="H111" s="20"/>
    </row>
    <row r="112" spans="1:8" ht="15.75" thickBot="1" x14ac:dyDescent="0.3">
      <c r="A112" s="894"/>
      <c r="B112" s="255" t="s">
        <v>35</v>
      </c>
      <c r="C112" s="20"/>
      <c r="D112" s="911"/>
      <c r="E112" s="912"/>
      <c r="F112" s="20"/>
      <c r="G112" s="20"/>
      <c r="H112" s="20"/>
    </row>
    <row r="113" spans="1:8" ht="15" customHeight="1" x14ac:dyDescent="0.25">
      <c r="A113" s="894"/>
      <c r="B113" s="893" t="s">
        <v>34</v>
      </c>
      <c r="C113" s="922" t="s">
        <v>33</v>
      </c>
      <c r="D113" s="923"/>
      <c r="E113" s="926" t="s">
        <v>32</v>
      </c>
      <c r="F113" s="927"/>
      <c r="G113" s="927"/>
      <c r="H113" s="928"/>
    </row>
    <row r="114" spans="1:8" ht="25.5" customHeight="1" thickBot="1" x14ac:dyDescent="0.3">
      <c r="A114" s="894"/>
      <c r="B114" s="894"/>
      <c r="C114" s="924"/>
      <c r="D114" s="925"/>
      <c r="E114" s="929" t="s">
        <v>31</v>
      </c>
      <c r="F114" s="930"/>
      <c r="G114" s="930"/>
      <c r="H114" s="931"/>
    </row>
    <row r="115" spans="1:8" x14ac:dyDescent="0.25">
      <c r="A115" s="894"/>
      <c r="B115" s="894"/>
      <c r="C115" s="922"/>
      <c r="D115" s="923"/>
      <c r="E115" s="922"/>
      <c r="F115" s="932"/>
      <c r="G115" s="932"/>
      <c r="H115" s="923"/>
    </row>
    <row r="116" spans="1:8" ht="15.75" thickBot="1" x14ac:dyDescent="0.3">
      <c r="A116" s="895"/>
      <c r="B116" s="895"/>
      <c r="C116" s="924"/>
      <c r="D116" s="925"/>
      <c r="E116" s="924"/>
      <c r="F116" s="933"/>
      <c r="G116" s="933"/>
      <c r="H116" s="925"/>
    </row>
    <row r="120" spans="1:8" ht="15.75" thickBot="1" x14ac:dyDescent="0.3"/>
    <row r="121" spans="1:8" ht="15.75" customHeight="1" thickBot="1" x14ac:dyDescent="0.3">
      <c r="A121" s="893">
        <v>26</v>
      </c>
      <c r="B121" s="890" t="s">
        <v>29</v>
      </c>
      <c r="C121" s="891"/>
      <c r="D121" s="892"/>
    </row>
    <row r="122" spans="1:8" x14ac:dyDescent="0.25">
      <c r="A122" s="894"/>
      <c r="B122" s="19" t="s">
        <v>28</v>
      </c>
      <c r="C122" s="18"/>
      <c r="D122" s="17" t="e">
        <f>+C54</f>
        <v>#REF!</v>
      </c>
    </row>
    <row r="123" spans="1:8" x14ac:dyDescent="0.25">
      <c r="A123" s="894"/>
      <c r="B123" s="14" t="s">
        <v>27</v>
      </c>
      <c r="C123" s="16" t="s">
        <v>30</v>
      </c>
      <c r="D123" s="12" t="e">
        <f>+D122*20</f>
        <v>#REF!</v>
      </c>
    </row>
    <row r="124" spans="1:8" x14ac:dyDescent="0.25">
      <c r="A124" s="894"/>
      <c r="B124" s="14" t="s">
        <v>26</v>
      </c>
      <c r="C124" s="15"/>
      <c r="D124" s="12" t="e">
        <f>+C61</f>
        <v>#REF!</v>
      </c>
    </row>
    <row r="125" spans="1:8" x14ac:dyDescent="0.25">
      <c r="A125" s="894"/>
      <c r="B125" s="14" t="s">
        <v>25</v>
      </c>
      <c r="C125" s="13"/>
      <c r="D125" s="12" t="e">
        <f>+C53</f>
        <v>#REF!</v>
      </c>
    </row>
    <row r="126" spans="1:8" ht="15.75" thickBot="1" x14ac:dyDescent="0.3">
      <c r="A126" s="894"/>
      <c r="B126" s="11" t="s">
        <v>24</v>
      </c>
      <c r="C126" s="10"/>
      <c r="D126" s="9" t="e">
        <f>+D125+D123+D124</f>
        <v>#REF!</v>
      </c>
    </row>
    <row r="127" spans="1:8" ht="15.75" customHeight="1" thickBot="1" x14ac:dyDescent="0.3">
      <c r="A127" s="894"/>
      <c r="B127" s="8" t="s">
        <v>23</v>
      </c>
      <c r="C127" s="934" t="e">
        <f>CONCATENATE(F127," : ",G127," = ",H127)</f>
        <v>#REF!</v>
      </c>
      <c r="D127" s="935"/>
      <c r="F127" s="7" t="e">
        <f>+FIXED(D126,1)</f>
        <v>#REF!</v>
      </c>
      <c r="G127" s="7" t="e">
        <f>+FIXED(+H92,1)</f>
        <v>#REF!</v>
      </c>
      <c r="H127" s="7" t="e">
        <f>+FIXED(F127/G127,1)</f>
        <v>#REF!</v>
      </c>
    </row>
    <row r="128" spans="1:8" ht="29.25" customHeight="1" thickBot="1" x14ac:dyDescent="0.3">
      <c r="A128" s="894"/>
      <c r="B128" s="8" t="s">
        <v>22</v>
      </c>
      <c r="C128" s="934" t="e">
        <f>CONCATENATE(F128," : ",G128," = ",H128)</f>
        <v>#REF!</v>
      </c>
      <c r="D128" s="935"/>
      <c r="F128" s="7" t="e">
        <f>+FIXED(E63,1)</f>
        <v>#REF!</v>
      </c>
      <c r="G128" s="7" t="e">
        <f>+G127</f>
        <v>#REF!</v>
      </c>
      <c r="H128" s="7" t="e">
        <f>+FIXED(F128/G128,1)</f>
        <v>#REF!</v>
      </c>
    </row>
    <row r="129" spans="1:8" ht="15.75" customHeight="1" thickBot="1" x14ac:dyDescent="0.3">
      <c r="A129" s="895"/>
      <c r="B129" s="8" t="s">
        <v>21</v>
      </c>
      <c r="C129" s="934" t="e">
        <f>CONCATENATE(F129," : ",G129," = ",H129)</f>
        <v>#REF!</v>
      </c>
      <c r="D129" s="935"/>
      <c r="F129" s="7" t="str">
        <f>+FIXED(H105,1)</f>
        <v>0,0</v>
      </c>
      <c r="G129" s="7" t="e">
        <f>+G128</f>
        <v>#REF!</v>
      </c>
      <c r="H129" s="7" t="e">
        <f>+FIXED(F129/G129,1)</f>
        <v>#REF!</v>
      </c>
    </row>
    <row r="130" spans="1:8" x14ac:dyDescent="0.25">
      <c r="C130" s="921"/>
      <c r="D130" s="921"/>
    </row>
    <row r="145" s="6" customFormat="1" x14ac:dyDescent="0.25"/>
  </sheetData>
  <mergeCells count="47">
    <mergeCell ref="A121:A129"/>
    <mergeCell ref="B121:D121"/>
    <mergeCell ref="C127:D127"/>
    <mergeCell ref="C128:D128"/>
    <mergeCell ref="C129:D129"/>
    <mergeCell ref="C130:D130"/>
    <mergeCell ref="D110:E110"/>
    <mergeCell ref="D111:E111"/>
    <mergeCell ref="D112:E112"/>
    <mergeCell ref="B113:B116"/>
    <mergeCell ref="C113:D114"/>
    <mergeCell ref="E113:H113"/>
    <mergeCell ref="E114:H114"/>
    <mergeCell ref="C115:D116"/>
    <mergeCell ref="E115:H116"/>
    <mergeCell ref="D109:E109"/>
    <mergeCell ref="B82:G82"/>
    <mergeCell ref="B83:G83"/>
    <mergeCell ref="B84:G84"/>
    <mergeCell ref="A90:A116"/>
    <mergeCell ref="B90:G90"/>
    <mergeCell ref="D91:E91"/>
    <mergeCell ref="D99:E99"/>
    <mergeCell ref="D100:E100"/>
    <mergeCell ref="D101:E101"/>
    <mergeCell ref="D103:E103"/>
    <mergeCell ref="D104:E104"/>
    <mergeCell ref="D105:E105"/>
    <mergeCell ref="D106:E106"/>
    <mergeCell ref="D107:E107"/>
    <mergeCell ref="D108:E108"/>
    <mergeCell ref="B81:G81"/>
    <mergeCell ref="A67:A84"/>
    <mergeCell ref="B67:G67"/>
    <mergeCell ref="B68:G68"/>
    <mergeCell ref="B69:G69"/>
    <mergeCell ref="B70:G70"/>
    <mergeCell ref="B71:G71"/>
    <mergeCell ref="B72:G72"/>
    <mergeCell ref="B73:G73"/>
    <mergeCell ref="B74:G74"/>
    <mergeCell ref="B75:G75"/>
    <mergeCell ref="B76:G76"/>
    <mergeCell ref="B77:G77"/>
    <mergeCell ref="B78:G78"/>
    <mergeCell ref="B79:G79"/>
    <mergeCell ref="B80:G80"/>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
  <dimension ref="A5:T138"/>
  <sheetViews>
    <sheetView topLeftCell="A97" workbookViewId="0">
      <selection activeCell="I125" sqref="I125"/>
    </sheetView>
  </sheetViews>
  <sheetFormatPr baseColWidth="10" defaultRowHeight="15" outlineLevelRow="1" outlineLevelCol="1" x14ac:dyDescent="0.25"/>
  <cols>
    <col min="1" max="1" width="8.28515625" customWidth="1"/>
    <col min="2" max="2" width="50.7109375" customWidth="1"/>
    <col min="3" max="3" width="12.7109375" customWidth="1"/>
    <col min="4" max="4" width="8.28515625" customWidth="1"/>
    <col min="5" max="7" width="11.7109375" customWidth="1"/>
    <col min="8" max="8" width="14.140625" customWidth="1"/>
    <col min="9" max="9" width="11.7109375" customWidth="1" outlineLevel="1"/>
    <col min="10" max="12" width="12.7109375" customWidth="1"/>
    <col min="13" max="13" width="72.42578125" customWidth="1"/>
    <col min="14" max="14" width="12.7109375" customWidth="1"/>
    <col min="15" max="16" width="15" customWidth="1"/>
    <col min="17" max="20" width="13" customWidth="1"/>
    <col min="23" max="23" width="13.85546875" customWidth="1"/>
  </cols>
  <sheetData>
    <row r="5" spans="2:4" ht="15.75" thickBot="1" x14ac:dyDescent="0.3">
      <c r="C5" t="s">
        <v>114</v>
      </c>
      <c r="D5" s="139">
        <v>1.1200000000000001</v>
      </c>
    </row>
    <row r="6" spans="2:4" ht="29.25" thickBot="1" x14ac:dyDescent="0.3">
      <c r="B6" s="109" t="s">
        <v>175</v>
      </c>
      <c r="C6" s="134" t="s">
        <v>103</v>
      </c>
      <c r="D6" s="134" t="s">
        <v>86</v>
      </c>
    </row>
    <row r="7" spans="2:4" x14ac:dyDescent="0.25">
      <c r="B7" s="126" t="s">
        <v>113</v>
      </c>
      <c r="C7" s="133" t="e">
        <f>+#REF!/10^6</f>
        <v>#REF!</v>
      </c>
      <c r="D7" s="138" t="e">
        <f>+C7/C$10</f>
        <v>#REF!</v>
      </c>
    </row>
    <row r="8" spans="2:4" x14ac:dyDescent="0.25">
      <c r="B8" s="126"/>
      <c r="C8" s="133"/>
      <c r="D8" s="138"/>
    </row>
    <row r="9" spans="2:4" ht="15.75" thickBot="1" x14ac:dyDescent="0.3">
      <c r="B9" s="123" t="s">
        <v>112</v>
      </c>
      <c r="C9" s="137" t="e">
        <f>+#REF!/10^6</f>
        <v>#REF!</v>
      </c>
      <c r="D9" s="136" t="e">
        <f>+C9/C$10</f>
        <v>#REF!</v>
      </c>
    </row>
    <row r="10" spans="2:4" ht="15.75" thickBot="1" x14ac:dyDescent="0.3">
      <c r="B10" s="120" t="s">
        <v>87</v>
      </c>
      <c r="C10" s="119" t="e">
        <f>+C9+C7</f>
        <v>#REF!</v>
      </c>
      <c r="D10" s="135" t="e">
        <f>+C10/C$10</f>
        <v>#REF!</v>
      </c>
    </row>
    <row r="11" spans="2:4" ht="29.25" thickBot="1" x14ac:dyDescent="0.3">
      <c r="B11" s="129" t="s">
        <v>111</v>
      </c>
      <c r="C11" s="129" t="s">
        <v>103</v>
      </c>
      <c r="D11" s="127" t="s">
        <v>86</v>
      </c>
    </row>
    <row r="12" spans="2:4" x14ac:dyDescent="0.25">
      <c r="B12" s="126" t="s">
        <v>110</v>
      </c>
      <c r="C12" s="133" t="e">
        <f>+#REF!/10^6</f>
        <v>#REF!</v>
      </c>
      <c r="D12" s="138" t="e">
        <f t="shared" ref="D12:D17" si="0">+C12/C$10</f>
        <v>#REF!</v>
      </c>
    </row>
    <row r="13" spans="2:4" x14ac:dyDescent="0.25">
      <c r="B13" s="126" t="s">
        <v>109</v>
      </c>
      <c r="C13" s="133" t="e">
        <f>(+#REF!+#REF!)/10^6</f>
        <v>#REF!</v>
      </c>
      <c r="D13" s="138" t="e">
        <f t="shared" si="0"/>
        <v>#REF!</v>
      </c>
    </row>
    <row r="14" spans="2:4" x14ac:dyDescent="0.25">
      <c r="B14" s="126" t="s">
        <v>108</v>
      </c>
      <c r="C14" s="133" t="e">
        <f>+#REF!/10^6</f>
        <v>#REF!</v>
      </c>
      <c r="D14" s="138" t="e">
        <f t="shared" si="0"/>
        <v>#REF!</v>
      </c>
    </row>
    <row r="15" spans="2:4" x14ac:dyDescent="0.25">
      <c r="B15" s="126" t="s">
        <v>174</v>
      </c>
      <c r="C15" s="133" t="e">
        <f>+(#REF!+#REF!+#REF!+#REF!)/10^6</f>
        <v>#REF!</v>
      </c>
      <c r="D15" s="138" t="e">
        <f t="shared" si="0"/>
        <v>#REF!</v>
      </c>
    </row>
    <row r="16" spans="2:4" ht="15.75" thickBot="1" x14ac:dyDescent="0.3">
      <c r="B16" s="123" t="s">
        <v>91</v>
      </c>
      <c r="C16" s="137" t="e">
        <f>+C9</f>
        <v>#REF!</v>
      </c>
      <c r="D16" s="136" t="e">
        <f t="shared" si="0"/>
        <v>#REF!</v>
      </c>
    </row>
    <row r="17" spans="2:5" ht="15.75" thickBot="1" x14ac:dyDescent="0.3">
      <c r="B17" s="120" t="s">
        <v>87</v>
      </c>
      <c r="C17" s="119" t="e">
        <f>+SUM(C12:C16)</f>
        <v>#REF!</v>
      </c>
      <c r="D17" s="135" t="e">
        <f t="shared" si="0"/>
        <v>#REF!</v>
      </c>
      <c r="E17" s="7"/>
    </row>
    <row r="18" spans="2:5" ht="15.75" thickBot="1" x14ac:dyDescent="0.3">
      <c r="C18" s="7"/>
    </row>
    <row r="19" spans="2:5" ht="29.25" thickBot="1" x14ac:dyDescent="0.3">
      <c r="B19" s="109" t="s">
        <v>107</v>
      </c>
      <c r="C19" s="134" t="s">
        <v>98</v>
      </c>
      <c r="D19" s="134" t="s">
        <v>86</v>
      </c>
    </row>
    <row r="20" spans="2:5" ht="45" x14ac:dyDescent="0.25">
      <c r="B20" s="126" t="s">
        <v>182</v>
      </c>
      <c r="C20" s="125" t="e">
        <f>+#REF!/10^6</f>
        <v>#REF!</v>
      </c>
      <c r="D20" s="124" t="e">
        <f t="shared" ref="D20:D26" si="1">+C20/C$26</f>
        <v>#REF!</v>
      </c>
    </row>
    <row r="21" spans="2:5" x14ac:dyDescent="0.25">
      <c r="B21" s="126" t="s">
        <v>178</v>
      </c>
      <c r="C21" s="125" t="e">
        <f>#REF!/10^6+I38</f>
        <v>#REF!</v>
      </c>
      <c r="D21" s="124" t="e">
        <f t="shared" si="1"/>
        <v>#REF!</v>
      </c>
    </row>
    <row r="22" spans="2:5" x14ac:dyDescent="0.25">
      <c r="B22" s="126" t="s">
        <v>106</v>
      </c>
      <c r="C22" s="133" t="e">
        <f>+C9-I38-C23-C24-C25</f>
        <v>#REF!</v>
      </c>
      <c r="D22" s="124" t="e">
        <f t="shared" si="1"/>
        <v>#REF!</v>
      </c>
    </row>
    <row r="23" spans="2:5" ht="30" x14ac:dyDescent="0.25">
      <c r="B23" s="126" t="s">
        <v>90</v>
      </c>
      <c r="C23" s="132" t="e">
        <f>+#REF!/10^6</f>
        <v>#REF!</v>
      </c>
      <c r="D23" s="124" t="e">
        <f t="shared" si="1"/>
        <v>#REF!</v>
      </c>
    </row>
    <row r="24" spans="2:5" ht="30" x14ac:dyDescent="0.25">
      <c r="B24" s="126" t="s">
        <v>105</v>
      </c>
      <c r="C24" s="132" t="e">
        <f>+#REF!/10^6</f>
        <v>#REF!</v>
      </c>
      <c r="D24" s="124" t="e">
        <f t="shared" si="1"/>
        <v>#REF!</v>
      </c>
    </row>
    <row r="25" spans="2:5" ht="30.75" thickBot="1" x14ac:dyDescent="0.3">
      <c r="B25" s="123" t="s">
        <v>89</v>
      </c>
      <c r="C25" s="131" t="e">
        <f>+#REF!/10^6</f>
        <v>#REF!</v>
      </c>
      <c r="D25" s="121" t="e">
        <f t="shared" si="1"/>
        <v>#REF!</v>
      </c>
    </row>
    <row r="26" spans="2:5" ht="15.75" thickBot="1" x14ac:dyDescent="0.3">
      <c r="B26" s="120" t="s">
        <v>87</v>
      </c>
      <c r="C26" s="119" t="e">
        <f>SUM(C20:C25)</f>
        <v>#REF!</v>
      </c>
      <c r="D26" s="118" t="e">
        <f t="shared" si="1"/>
        <v>#REF!</v>
      </c>
      <c r="E26" s="130"/>
    </row>
    <row r="27" spans="2:5" ht="29.25" thickBot="1" x14ac:dyDescent="0.3">
      <c r="B27" s="129" t="s">
        <v>104</v>
      </c>
      <c r="C27" s="128" t="s">
        <v>179</v>
      </c>
      <c r="D27" s="127" t="s">
        <v>86</v>
      </c>
    </row>
    <row r="28" spans="2:5" ht="30" x14ac:dyDescent="0.25">
      <c r="B28" s="126" t="s">
        <v>102</v>
      </c>
      <c r="C28" s="125" t="e">
        <f>+C12</f>
        <v>#REF!</v>
      </c>
      <c r="D28" s="124" t="e">
        <f t="shared" ref="D28:D33" si="2">+C28/C$26</f>
        <v>#REF!</v>
      </c>
    </row>
    <row r="29" spans="2:5" x14ac:dyDescent="0.25">
      <c r="B29" s="126" t="s">
        <v>101</v>
      </c>
      <c r="C29" s="125" t="e">
        <f>+C13</f>
        <v>#REF!</v>
      </c>
      <c r="D29" s="124" t="e">
        <f t="shared" si="2"/>
        <v>#REF!</v>
      </c>
    </row>
    <row r="30" spans="2:5" x14ac:dyDescent="0.25">
      <c r="B30" s="126" t="s">
        <v>100</v>
      </c>
      <c r="C30" s="125" t="e">
        <f>+C14</f>
        <v>#REF!</v>
      </c>
      <c r="D30" s="124" t="e">
        <f t="shared" si="2"/>
        <v>#REF!</v>
      </c>
    </row>
    <row r="31" spans="2:5" ht="30" x14ac:dyDescent="0.25">
      <c r="B31" s="126" t="s">
        <v>176</v>
      </c>
      <c r="C31" s="125" t="e">
        <f>+C15</f>
        <v>#REF!</v>
      </c>
      <c r="D31" s="124" t="e">
        <f t="shared" si="2"/>
        <v>#REF!</v>
      </c>
    </row>
    <row r="32" spans="2:5" ht="15.75" thickBot="1" x14ac:dyDescent="0.3">
      <c r="B32" s="123" t="s">
        <v>91</v>
      </c>
      <c r="C32" s="122" t="e">
        <f>+C16</f>
        <v>#REF!</v>
      </c>
      <c r="D32" s="121" t="e">
        <f t="shared" si="2"/>
        <v>#REF!</v>
      </c>
    </row>
    <row r="33" spans="2:9" ht="15.75" thickBot="1" x14ac:dyDescent="0.3">
      <c r="B33" s="120" t="s">
        <v>87</v>
      </c>
      <c r="C33" s="119" t="e">
        <f>+SUM(C28:C32)</f>
        <v>#REF!</v>
      </c>
      <c r="D33" s="118" t="e">
        <f t="shared" si="2"/>
        <v>#REF!</v>
      </c>
    </row>
    <row r="35" spans="2:9" ht="15.75" thickBot="1" x14ac:dyDescent="0.3"/>
    <row r="36" spans="2:9" ht="43.5" thickBot="1" x14ac:dyDescent="0.3">
      <c r="B36" s="109" t="s">
        <v>99</v>
      </c>
      <c r="C36" s="108" t="s">
        <v>98</v>
      </c>
      <c r="D36" s="107" t="s">
        <v>86</v>
      </c>
      <c r="E36" s="106" t="s">
        <v>95</v>
      </c>
      <c r="F36" s="105" t="s">
        <v>94</v>
      </c>
      <c r="G36" s="105" t="s">
        <v>93</v>
      </c>
      <c r="H36" s="105" t="s">
        <v>92</v>
      </c>
      <c r="I36" s="104" t="s">
        <v>91</v>
      </c>
    </row>
    <row r="37" spans="2:9" ht="45.75" thickBot="1" x14ac:dyDescent="0.3">
      <c r="B37" s="102" t="s">
        <v>182</v>
      </c>
      <c r="C37" s="101" t="e">
        <f>SUM(E37:I37)</f>
        <v>#REF!</v>
      </c>
      <c r="D37" s="117" t="e">
        <f t="shared" ref="D37:D44" si="3">+C37/C$44</f>
        <v>#REF!</v>
      </c>
      <c r="E37" s="99" t="e">
        <f>+#REF!/10^6</f>
        <v>#REF!</v>
      </c>
      <c r="F37" s="98" t="e">
        <f>+#REF!/10^6+#REF!/10^6</f>
        <v>#REF!</v>
      </c>
      <c r="G37" s="98" t="e">
        <f>+#REF!/10^6</f>
        <v>#REF!</v>
      </c>
      <c r="H37" s="98" t="e">
        <f>+(#REF!+#REF!+#REF!+#REF!)/10^6</f>
        <v>#REF!</v>
      </c>
      <c r="I37" s="103"/>
    </row>
    <row r="38" spans="2:9" ht="15.75" thickBot="1" x14ac:dyDescent="0.3">
      <c r="B38" s="102" t="s">
        <v>178</v>
      </c>
      <c r="C38" s="101" t="e">
        <f t="shared" ref="C38:C42" si="4">SUM(E38:I38)</f>
        <v>#REF!</v>
      </c>
      <c r="D38" s="117" t="e">
        <f t="shared" si="3"/>
        <v>#REF!</v>
      </c>
      <c r="E38" s="99" t="e">
        <f>+#REF!/10^6</f>
        <v>#REF!</v>
      </c>
      <c r="F38" s="98" t="e">
        <f>+(#REF!+#REF!)/10^6</f>
        <v>#REF!</v>
      </c>
      <c r="G38" s="98" t="e">
        <f>+#REF!/10^6</f>
        <v>#REF!</v>
      </c>
      <c r="H38" s="98" t="e">
        <f>(#REF!+#REF!++#REF!)/10^6</f>
        <v>#REF!</v>
      </c>
      <c r="I38" s="116" t="e">
        <f>+#REF!/10^6</f>
        <v>#REF!</v>
      </c>
    </row>
    <row r="39" spans="2:9" x14ac:dyDescent="0.25">
      <c r="B39" s="96" t="s">
        <v>106</v>
      </c>
      <c r="C39" s="115" t="e">
        <f t="shared" si="4"/>
        <v>#REF!</v>
      </c>
      <c r="D39" s="114" t="e">
        <f t="shared" si="3"/>
        <v>#REF!</v>
      </c>
      <c r="E39" s="93"/>
      <c r="F39" s="92"/>
      <c r="G39" s="92"/>
      <c r="H39" s="92"/>
      <c r="I39" s="91" t="e">
        <f>+C22</f>
        <v>#REF!</v>
      </c>
    </row>
    <row r="40" spans="2:9" ht="30" x14ac:dyDescent="0.25">
      <c r="B40" s="87" t="s">
        <v>90</v>
      </c>
      <c r="C40" s="112" t="e">
        <f t="shared" si="4"/>
        <v>#REF!</v>
      </c>
      <c r="D40" s="113" t="e">
        <f t="shared" si="3"/>
        <v>#REF!</v>
      </c>
      <c r="E40" s="84"/>
      <c r="F40" s="83"/>
      <c r="G40" s="83"/>
      <c r="H40" s="83"/>
      <c r="I40" s="82" t="e">
        <f>+C23</f>
        <v>#REF!</v>
      </c>
    </row>
    <row r="41" spans="2:9" ht="30" x14ac:dyDescent="0.25">
      <c r="B41" s="87" t="s">
        <v>105</v>
      </c>
      <c r="C41" s="112" t="e">
        <f t="shared" si="4"/>
        <v>#REF!</v>
      </c>
      <c r="D41" s="113" t="e">
        <f t="shared" si="3"/>
        <v>#REF!</v>
      </c>
      <c r="E41" s="84"/>
      <c r="F41" s="83"/>
      <c r="G41" s="83"/>
      <c r="H41" s="83"/>
      <c r="I41" s="82" t="e">
        <f>+C24</f>
        <v>#REF!</v>
      </c>
    </row>
    <row r="42" spans="2:9" ht="30.75" thickBot="1" x14ac:dyDescent="0.3">
      <c r="B42" s="87" t="s">
        <v>89</v>
      </c>
      <c r="C42" s="112" t="e">
        <f t="shared" si="4"/>
        <v>#REF!</v>
      </c>
      <c r="D42" s="111" t="e">
        <f t="shared" si="3"/>
        <v>#REF!</v>
      </c>
      <c r="E42" s="84"/>
      <c r="F42" s="83"/>
      <c r="G42" s="83"/>
      <c r="H42" s="83"/>
      <c r="I42" s="82" t="e">
        <f>+C25</f>
        <v>#REF!</v>
      </c>
    </row>
    <row r="43" spans="2:9" ht="15.75" thickBot="1" x14ac:dyDescent="0.3">
      <c r="B43" s="81" t="s">
        <v>88</v>
      </c>
      <c r="C43" s="80" t="e">
        <f>+SUM(C39:C42)</f>
        <v>#REF!</v>
      </c>
      <c r="D43" s="79" t="e">
        <f t="shared" si="3"/>
        <v>#REF!</v>
      </c>
      <c r="E43" s="78">
        <f>+SUM(E39:E42)</f>
        <v>0</v>
      </c>
      <c r="F43" s="77">
        <f>+SUM(F39:F42)</f>
        <v>0</v>
      </c>
      <c r="G43" s="77">
        <f>+SUM(G39:G42)</f>
        <v>0</v>
      </c>
      <c r="H43" s="77">
        <f>+SUM(H39:H42)</f>
        <v>0</v>
      </c>
      <c r="I43" s="76" t="e">
        <f>+SUM(I39:I42)</f>
        <v>#REF!</v>
      </c>
    </row>
    <row r="44" spans="2:9" ht="15.75" thickBot="1" x14ac:dyDescent="0.3">
      <c r="B44" s="70" t="s">
        <v>87</v>
      </c>
      <c r="C44" s="75" t="e">
        <f>SUM(C37:C42)</f>
        <v>#REF!</v>
      </c>
      <c r="D44" s="74" t="e">
        <f t="shared" si="3"/>
        <v>#REF!</v>
      </c>
      <c r="E44" s="73" t="e">
        <f>SUM(E37:E42)</f>
        <v>#REF!</v>
      </c>
      <c r="F44" s="72" t="e">
        <f>SUM(F37:F42)</f>
        <v>#REF!</v>
      </c>
      <c r="G44" s="72" t="e">
        <f>SUM(G37:G42)</f>
        <v>#REF!</v>
      </c>
      <c r="H44" s="72" t="e">
        <f>SUM(H37:H42)</f>
        <v>#REF!</v>
      </c>
      <c r="I44" s="71" t="e">
        <f>SUM(I37:I42)</f>
        <v>#REF!</v>
      </c>
    </row>
    <row r="45" spans="2:9" ht="15.75" thickBot="1" x14ac:dyDescent="0.3">
      <c r="B45" s="70" t="s">
        <v>86</v>
      </c>
      <c r="C45" s="69" t="e">
        <f>+C44/$C44</f>
        <v>#REF!</v>
      </c>
      <c r="D45" s="74"/>
      <c r="E45" s="67" t="e">
        <f>+E44/$C44</f>
        <v>#REF!</v>
      </c>
      <c r="F45" s="66" t="e">
        <f>+F44/$C44</f>
        <v>#REF!</v>
      </c>
      <c r="G45" s="66" t="e">
        <f>+G44/$C44</f>
        <v>#REF!</v>
      </c>
      <c r="H45" s="66" t="e">
        <f>+H44/$C44</f>
        <v>#REF!</v>
      </c>
      <c r="I45" s="65" t="e">
        <f>+I44/$C44</f>
        <v>#REF!</v>
      </c>
    </row>
    <row r="47" spans="2:9" ht="15.75" thickBot="1" x14ac:dyDescent="0.3">
      <c r="D47" s="110"/>
    </row>
    <row r="48" spans="2:9" ht="43.5" thickBot="1" x14ac:dyDescent="0.3">
      <c r="B48" s="109" t="s">
        <v>97</v>
      </c>
      <c r="C48" s="108" t="s">
        <v>96</v>
      </c>
      <c r="D48" s="107" t="s">
        <v>86</v>
      </c>
      <c r="E48" s="106" t="s">
        <v>95</v>
      </c>
      <c r="F48" s="105" t="s">
        <v>94</v>
      </c>
      <c r="G48" s="105" t="s">
        <v>93</v>
      </c>
      <c r="H48" s="105" t="s">
        <v>92</v>
      </c>
      <c r="I48" s="104" t="s">
        <v>91</v>
      </c>
    </row>
    <row r="49" spans="1:20" ht="45.75" thickBot="1" x14ac:dyDescent="0.3">
      <c r="B49" s="102" t="s">
        <v>182</v>
      </c>
      <c r="C49" s="101" t="e">
        <f t="shared" ref="C49:C54" si="5">+C37/$D$5</f>
        <v>#REF!</v>
      </c>
      <c r="D49" s="100" t="e">
        <f t="shared" ref="D49:D55" si="6">+C49/C$56</f>
        <v>#REF!</v>
      </c>
      <c r="E49" s="99" t="e">
        <f>+E37/$D$5</f>
        <v>#REF!</v>
      </c>
      <c r="F49" s="98" t="e">
        <f>+F37/$D$5</f>
        <v>#REF!</v>
      </c>
      <c r="G49" s="98" t="e">
        <f>+G37/$D$5</f>
        <v>#REF!</v>
      </c>
      <c r="H49" s="98" t="e">
        <f>+H37/$D$5</f>
        <v>#REF!</v>
      </c>
      <c r="I49" s="103"/>
    </row>
    <row r="50" spans="1:20" ht="15.75" thickBot="1" x14ac:dyDescent="0.3">
      <c r="B50" s="102" t="s">
        <v>178</v>
      </c>
      <c r="C50" s="101" t="e">
        <f t="shared" si="5"/>
        <v>#REF!</v>
      </c>
      <c r="D50" s="100" t="e">
        <f t="shared" si="6"/>
        <v>#REF!</v>
      </c>
      <c r="E50" s="99" t="e">
        <f>+E38/$D$5</f>
        <v>#REF!</v>
      </c>
      <c r="F50" s="99" t="e">
        <f t="shared" ref="F50:H50" si="7">+F38/$D$5</f>
        <v>#REF!</v>
      </c>
      <c r="G50" s="99" t="e">
        <f t="shared" si="7"/>
        <v>#REF!</v>
      </c>
      <c r="H50" s="99" t="e">
        <f t="shared" si="7"/>
        <v>#REF!</v>
      </c>
      <c r="I50" s="97" t="e">
        <f>+I38/$D$5</f>
        <v>#REF!</v>
      </c>
      <c r="T50">
        <v>1.8</v>
      </c>
    </row>
    <row r="51" spans="1:20" x14ac:dyDescent="0.25">
      <c r="B51" s="96" t="s">
        <v>106</v>
      </c>
      <c r="C51" s="95" t="e">
        <f t="shared" si="5"/>
        <v>#REF!</v>
      </c>
      <c r="D51" s="94" t="e">
        <f t="shared" si="6"/>
        <v>#REF!</v>
      </c>
      <c r="E51" s="93"/>
      <c r="F51" s="92"/>
      <c r="G51" s="92"/>
      <c r="H51" s="92"/>
      <c r="I51" s="91" t="e">
        <f>+I39/$D$5</f>
        <v>#REF!</v>
      </c>
      <c r="T51">
        <v>7.4</v>
      </c>
    </row>
    <row r="52" spans="1:20" ht="30" x14ac:dyDescent="0.25">
      <c r="B52" s="87" t="s">
        <v>90</v>
      </c>
      <c r="C52" s="86" t="e">
        <f t="shared" si="5"/>
        <v>#REF!</v>
      </c>
      <c r="D52" s="88" t="e">
        <f t="shared" si="6"/>
        <v>#REF!</v>
      </c>
      <c r="E52" s="90"/>
      <c r="F52" s="89"/>
      <c r="G52" s="89"/>
      <c r="H52" s="89"/>
      <c r="I52" s="82" t="e">
        <f>+I40/$D$5</f>
        <v>#REF!</v>
      </c>
      <c r="T52">
        <v>0.6</v>
      </c>
    </row>
    <row r="53" spans="1:20" ht="30" x14ac:dyDescent="0.25">
      <c r="B53" s="87" t="s">
        <v>105</v>
      </c>
      <c r="C53" s="86" t="e">
        <f t="shared" si="5"/>
        <v>#REF!</v>
      </c>
      <c r="D53" s="88" t="e">
        <f t="shared" si="6"/>
        <v>#REF!</v>
      </c>
      <c r="E53" s="84"/>
      <c r="F53" s="83"/>
      <c r="G53" s="83"/>
      <c r="H53" s="83"/>
      <c r="I53" s="82" t="e">
        <f>+I41/$D$5</f>
        <v>#REF!</v>
      </c>
      <c r="T53">
        <v>0.1</v>
      </c>
    </row>
    <row r="54" spans="1:20" ht="30.75" thickBot="1" x14ac:dyDescent="0.3">
      <c r="B54" s="87" t="s">
        <v>89</v>
      </c>
      <c r="C54" s="86" t="e">
        <f t="shared" si="5"/>
        <v>#REF!</v>
      </c>
      <c r="D54" s="85" t="e">
        <f t="shared" si="6"/>
        <v>#REF!</v>
      </c>
      <c r="E54" s="84"/>
      <c r="F54" s="83"/>
      <c r="G54" s="83"/>
      <c r="H54" s="83"/>
      <c r="I54" s="82" t="e">
        <f>+I42/$D$5</f>
        <v>#REF!</v>
      </c>
      <c r="T54">
        <v>0.1</v>
      </c>
    </row>
    <row r="55" spans="1:20" ht="15.75" thickBot="1" x14ac:dyDescent="0.3">
      <c r="B55" s="81" t="s">
        <v>88</v>
      </c>
      <c r="C55" s="80" t="e">
        <f>+SUM(C51:C54)</f>
        <v>#REF!</v>
      </c>
      <c r="D55" s="79" t="e">
        <f t="shared" si="6"/>
        <v>#REF!</v>
      </c>
      <c r="E55" s="78">
        <f>+SUM(E51:E54)</f>
        <v>0</v>
      </c>
      <c r="F55" s="77">
        <f>+SUM(F51:F54)</f>
        <v>0</v>
      </c>
      <c r="G55" s="77">
        <f>+SUM(G51:G54)</f>
        <v>0</v>
      </c>
      <c r="H55" s="77">
        <f>+SUM(H51:H54)</f>
        <v>0</v>
      </c>
      <c r="I55" s="76" t="e">
        <f>+SUM(I51:I54)</f>
        <v>#REF!</v>
      </c>
    </row>
    <row r="56" spans="1:20" ht="15.75" thickBot="1" x14ac:dyDescent="0.3">
      <c r="B56" s="70" t="s">
        <v>87</v>
      </c>
      <c r="C56" s="75" t="e">
        <f t="shared" ref="C56:I56" si="8">SUM(C49:C54)</f>
        <v>#REF!</v>
      </c>
      <c r="D56" s="74" t="e">
        <f t="shared" si="8"/>
        <v>#REF!</v>
      </c>
      <c r="E56" s="73" t="e">
        <f t="shared" si="8"/>
        <v>#REF!</v>
      </c>
      <c r="F56" s="72" t="e">
        <f t="shared" si="8"/>
        <v>#REF!</v>
      </c>
      <c r="G56" s="72" t="e">
        <f t="shared" si="8"/>
        <v>#REF!</v>
      </c>
      <c r="H56" s="72" t="e">
        <f t="shared" si="8"/>
        <v>#REF!</v>
      </c>
      <c r="I56" s="71" t="e">
        <f t="shared" si="8"/>
        <v>#REF!</v>
      </c>
      <c r="T56">
        <f>+SUM(T48:T54)</f>
        <v>10</v>
      </c>
    </row>
    <row r="57" spans="1:20" ht="15.75" thickBot="1" x14ac:dyDescent="0.3">
      <c r="B57" s="70" t="s">
        <v>86</v>
      </c>
      <c r="C57" s="69" t="e">
        <f>+C56/$C56</f>
        <v>#REF!</v>
      </c>
      <c r="D57" s="68"/>
      <c r="E57" s="67" t="e">
        <f>+E56/$C56</f>
        <v>#REF!</v>
      </c>
      <c r="F57" s="66" t="e">
        <f>+F56/$C56</f>
        <v>#REF!</v>
      </c>
      <c r="G57" s="66" t="e">
        <f>+G56/$C56</f>
        <v>#REF!</v>
      </c>
      <c r="H57" s="66" t="e">
        <f>+H56/$C56</f>
        <v>#REF!</v>
      </c>
      <c r="I57" s="65" t="e">
        <f>+I56/$C56</f>
        <v>#REF!</v>
      </c>
    </row>
    <row r="59" spans="1:20" ht="15.75" thickBot="1" x14ac:dyDescent="0.3"/>
    <row r="60" spans="1:20" ht="26.25" thickBot="1" x14ac:dyDescent="0.3">
      <c r="A60" s="893">
        <v>24</v>
      </c>
      <c r="B60" s="896" t="s">
        <v>85</v>
      </c>
      <c r="C60" s="897"/>
      <c r="D60" s="897"/>
      <c r="E60" s="897"/>
      <c r="F60" s="897"/>
      <c r="G60" s="898"/>
      <c r="H60" s="34" t="s">
        <v>84</v>
      </c>
      <c r="I60" s="34" t="s">
        <v>70</v>
      </c>
      <c r="J60" s="34" t="s">
        <v>83</v>
      </c>
      <c r="K60" s="34" t="s">
        <v>180</v>
      </c>
      <c r="L60" s="64" t="s">
        <v>82</v>
      </c>
    </row>
    <row r="61" spans="1:20" x14ac:dyDescent="0.25">
      <c r="A61" s="894"/>
      <c r="B61" s="899" t="s">
        <v>81</v>
      </c>
      <c r="C61" s="900"/>
      <c r="D61" s="900"/>
      <c r="E61" s="900"/>
      <c r="F61" s="900"/>
      <c r="G61" s="901"/>
      <c r="H61" s="63" t="e">
        <f>+C37</f>
        <v>#REF!</v>
      </c>
      <c r="I61" s="63" t="e">
        <f>+C49</f>
        <v>#REF!</v>
      </c>
      <c r="J61" s="63" t="e">
        <f>+E49</f>
        <v>#REF!</v>
      </c>
      <c r="K61" s="63" t="e">
        <f>+J61*D$5</f>
        <v>#REF!</v>
      </c>
      <c r="L61" s="62" t="e">
        <f>+J61/J$61</f>
        <v>#REF!</v>
      </c>
    </row>
    <row r="62" spans="1:20" x14ac:dyDescent="0.25">
      <c r="A62" s="894"/>
      <c r="B62" s="902"/>
      <c r="C62" s="903"/>
      <c r="D62" s="903"/>
      <c r="E62" s="903"/>
      <c r="F62" s="903"/>
      <c r="G62" s="904"/>
      <c r="H62" s="61"/>
      <c r="I62" s="61"/>
      <c r="J62" s="61"/>
      <c r="K62" s="61"/>
      <c r="L62" s="60"/>
    </row>
    <row r="63" spans="1:20" x14ac:dyDescent="0.25">
      <c r="A63" s="894"/>
      <c r="B63" s="902"/>
      <c r="C63" s="903"/>
      <c r="D63" s="903"/>
      <c r="E63" s="903"/>
      <c r="F63" s="903"/>
      <c r="G63" s="904"/>
      <c r="H63" s="61"/>
      <c r="I63" s="61"/>
      <c r="J63" s="61"/>
      <c r="K63" s="61"/>
      <c r="L63" s="60"/>
    </row>
    <row r="64" spans="1:20" x14ac:dyDescent="0.25">
      <c r="A64" s="894"/>
      <c r="B64" s="902"/>
      <c r="C64" s="903"/>
      <c r="D64" s="903"/>
      <c r="E64" s="903"/>
      <c r="F64" s="903"/>
      <c r="G64" s="904"/>
      <c r="H64" s="61"/>
      <c r="I64" s="61"/>
      <c r="J64" s="61"/>
      <c r="K64" s="61"/>
      <c r="L64" s="60"/>
    </row>
    <row r="65" spans="1:12" x14ac:dyDescent="0.25">
      <c r="A65" s="894"/>
      <c r="B65" s="902"/>
      <c r="C65" s="903"/>
      <c r="D65" s="903"/>
      <c r="E65" s="903"/>
      <c r="F65" s="903"/>
      <c r="G65" s="904"/>
      <c r="H65" s="61"/>
      <c r="I65" s="61"/>
      <c r="J65" s="61"/>
      <c r="K65" s="61"/>
      <c r="L65" s="60"/>
    </row>
    <row r="66" spans="1:12" x14ac:dyDescent="0.25">
      <c r="A66" s="894"/>
      <c r="B66" s="902"/>
      <c r="C66" s="903"/>
      <c r="D66" s="903"/>
      <c r="E66" s="903"/>
      <c r="F66" s="903"/>
      <c r="G66" s="904"/>
      <c r="H66" s="61"/>
      <c r="I66" s="61"/>
      <c r="J66" s="61"/>
      <c r="K66" s="61"/>
      <c r="L66" s="60"/>
    </row>
    <row r="67" spans="1:12" x14ac:dyDescent="0.25">
      <c r="A67" s="894"/>
      <c r="B67" s="902"/>
      <c r="C67" s="903"/>
      <c r="D67" s="903"/>
      <c r="E67" s="903"/>
      <c r="F67" s="903"/>
      <c r="G67" s="904"/>
      <c r="H67" s="61"/>
      <c r="I67" s="61"/>
      <c r="J67" s="61"/>
      <c r="K67" s="61"/>
      <c r="L67" s="60"/>
    </row>
    <row r="68" spans="1:12" x14ac:dyDescent="0.25">
      <c r="A68" s="894"/>
      <c r="B68" s="902"/>
      <c r="C68" s="903"/>
      <c r="D68" s="903"/>
      <c r="E68" s="903"/>
      <c r="F68" s="903"/>
      <c r="G68" s="904"/>
      <c r="H68" s="61"/>
      <c r="I68" s="61"/>
      <c r="J68" s="61"/>
      <c r="K68" s="61"/>
      <c r="L68" s="60"/>
    </row>
    <row r="69" spans="1:12" ht="15.75" thickBot="1" x14ac:dyDescent="0.3">
      <c r="A69" s="894"/>
      <c r="B69" s="905"/>
      <c r="C69" s="906"/>
      <c r="D69" s="906"/>
      <c r="E69" s="906"/>
      <c r="F69" s="906"/>
      <c r="G69" s="907"/>
      <c r="H69" s="59"/>
      <c r="I69" s="59"/>
      <c r="J69" s="59"/>
      <c r="K69" s="59"/>
      <c r="L69" s="58"/>
    </row>
    <row r="70" spans="1:12" ht="15.75" thickBot="1" x14ac:dyDescent="0.3">
      <c r="A70" s="894"/>
      <c r="B70" s="890" t="s">
        <v>80</v>
      </c>
      <c r="C70" s="891"/>
      <c r="D70" s="891"/>
      <c r="E70" s="891"/>
      <c r="F70" s="891"/>
      <c r="G70" s="892"/>
      <c r="H70" s="57" t="e">
        <f t="shared" ref="H70:H77" si="9">+I70*$D$5</f>
        <v>#REF!</v>
      </c>
      <c r="I70" s="57" t="e">
        <f>+I71+I72+I73</f>
        <v>#REF!</v>
      </c>
      <c r="J70" s="57" t="e">
        <f>+J71+J72+J73</f>
        <v>#REF!</v>
      </c>
      <c r="K70" s="57" t="e">
        <f t="shared" ref="K70:K77" si="10">+J70*D$5</f>
        <v>#REF!</v>
      </c>
      <c r="L70" s="56"/>
    </row>
    <row r="71" spans="1:12" ht="15.75" customHeight="1" thickBot="1" x14ac:dyDescent="0.3">
      <c r="A71" s="894"/>
      <c r="B71" s="908" t="s">
        <v>79</v>
      </c>
      <c r="C71" s="909"/>
      <c r="D71" s="909"/>
      <c r="E71" s="909"/>
      <c r="F71" s="909"/>
      <c r="G71" s="910"/>
      <c r="H71" s="55" t="e">
        <f t="shared" si="9"/>
        <v>#REF!</v>
      </c>
      <c r="I71" s="55" t="e">
        <f t="shared" ref="I71:J75" si="11">+C50</f>
        <v>#REF!</v>
      </c>
      <c r="J71" s="55" t="e">
        <f t="shared" si="11"/>
        <v>#REF!</v>
      </c>
      <c r="K71" s="55" t="e">
        <f t="shared" si="10"/>
        <v>#REF!</v>
      </c>
      <c r="L71" s="54"/>
    </row>
    <row r="72" spans="1:12" ht="15.75" thickBot="1" x14ac:dyDescent="0.3">
      <c r="A72" s="894"/>
      <c r="B72" s="908" t="s">
        <v>78</v>
      </c>
      <c r="C72" s="909"/>
      <c r="D72" s="909"/>
      <c r="E72" s="909"/>
      <c r="F72" s="909"/>
      <c r="G72" s="910"/>
      <c r="H72" s="55" t="e">
        <f t="shared" si="9"/>
        <v>#REF!</v>
      </c>
      <c r="I72" s="55" t="e">
        <f t="shared" si="11"/>
        <v>#REF!</v>
      </c>
      <c r="J72" s="55" t="e">
        <f t="shared" si="11"/>
        <v>#REF!</v>
      </c>
      <c r="K72" s="55" t="e">
        <f t="shared" si="10"/>
        <v>#REF!</v>
      </c>
      <c r="L72" s="54"/>
    </row>
    <row r="73" spans="1:12" ht="15.75" customHeight="1" thickBot="1" x14ac:dyDescent="0.3">
      <c r="A73" s="894"/>
      <c r="B73" s="908" t="s">
        <v>77</v>
      </c>
      <c r="C73" s="909"/>
      <c r="D73" s="909"/>
      <c r="E73" s="909"/>
      <c r="F73" s="909"/>
      <c r="G73" s="910"/>
      <c r="H73" s="55" t="e">
        <f t="shared" si="9"/>
        <v>#REF!</v>
      </c>
      <c r="I73" s="55" t="e">
        <f t="shared" si="11"/>
        <v>#REF!</v>
      </c>
      <c r="J73" s="55" t="e">
        <f t="shared" si="11"/>
        <v>#REF!</v>
      </c>
      <c r="K73" s="55" t="e">
        <f t="shared" si="10"/>
        <v>#REF!</v>
      </c>
      <c r="L73" s="54"/>
    </row>
    <row r="74" spans="1:12" ht="15.75" thickBot="1" x14ac:dyDescent="0.3">
      <c r="A74" s="894"/>
      <c r="B74" s="890" t="s">
        <v>76</v>
      </c>
      <c r="C74" s="891"/>
      <c r="D74" s="891"/>
      <c r="E74" s="891"/>
      <c r="F74" s="891"/>
      <c r="G74" s="892"/>
      <c r="H74" s="53" t="e">
        <f t="shared" si="9"/>
        <v>#REF!</v>
      </c>
      <c r="I74" s="53" t="e">
        <f t="shared" si="11"/>
        <v>#REF!</v>
      </c>
      <c r="J74" s="53" t="e">
        <f t="shared" si="11"/>
        <v>#REF!</v>
      </c>
      <c r="K74" s="53" t="e">
        <f t="shared" si="10"/>
        <v>#REF!</v>
      </c>
      <c r="L74" s="52"/>
    </row>
    <row r="75" spans="1:12" ht="15.75" thickBot="1" x14ac:dyDescent="0.3">
      <c r="A75" s="894"/>
      <c r="B75" s="890" t="s">
        <v>75</v>
      </c>
      <c r="C75" s="891"/>
      <c r="D75" s="891"/>
      <c r="E75" s="891"/>
      <c r="F75" s="891"/>
      <c r="G75" s="892"/>
      <c r="H75" s="53" t="e">
        <f t="shared" si="9"/>
        <v>#REF!</v>
      </c>
      <c r="I75" s="53" t="e">
        <f t="shared" si="11"/>
        <v>#REF!</v>
      </c>
      <c r="J75" s="53" t="e">
        <f t="shared" si="11"/>
        <v>#REF!</v>
      </c>
      <c r="K75" s="53" t="e">
        <f t="shared" si="10"/>
        <v>#REF!</v>
      </c>
      <c r="L75" s="52"/>
    </row>
    <row r="76" spans="1:12" ht="15.75" customHeight="1" outlineLevel="1" thickBot="1" x14ac:dyDescent="0.3">
      <c r="A76" s="894"/>
      <c r="B76" s="890" t="s">
        <v>74</v>
      </c>
      <c r="C76" s="891"/>
      <c r="D76" s="891"/>
      <c r="E76" s="891"/>
      <c r="F76" s="891"/>
      <c r="G76" s="892"/>
      <c r="H76" s="51">
        <f t="shared" si="9"/>
        <v>0</v>
      </c>
      <c r="I76" s="51"/>
      <c r="J76" s="51"/>
      <c r="K76" s="51">
        <f t="shared" si="10"/>
        <v>0</v>
      </c>
      <c r="L76" s="50"/>
    </row>
    <row r="77" spans="1:12" ht="15.75" thickBot="1" x14ac:dyDescent="0.3">
      <c r="A77" s="895"/>
      <c r="B77" s="890" t="s">
        <v>73</v>
      </c>
      <c r="C77" s="891"/>
      <c r="D77" s="891"/>
      <c r="E77" s="891"/>
      <c r="F77" s="891"/>
      <c r="G77" s="892"/>
      <c r="H77" s="51" t="e">
        <f t="shared" si="9"/>
        <v>#REF!</v>
      </c>
      <c r="I77" s="51" t="e">
        <f>+I61+I70+I74+I75</f>
        <v>#REF!</v>
      </c>
      <c r="J77" s="51" t="e">
        <f>+J61+J70+J74+J75</f>
        <v>#REF!</v>
      </c>
      <c r="K77" s="51" t="e">
        <f t="shared" si="10"/>
        <v>#REF!</v>
      </c>
      <c r="L77" s="50"/>
    </row>
    <row r="82" spans="1:8" ht="15.75" thickBot="1" x14ac:dyDescent="0.3"/>
    <row r="83" spans="1:8" ht="15.75" thickBot="1" x14ac:dyDescent="0.3">
      <c r="A83" s="893" t="s">
        <v>72</v>
      </c>
      <c r="B83" s="890" t="s">
        <v>71</v>
      </c>
      <c r="C83" s="891"/>
      <c r="D83" s="891"/>
      <c r="E83" s="891"/>
      <c r="F83" s="891"/>
      <c r="G83" s="892"/>
      <c r="H83" s="49" t="s">
        <v>70</v>
      </c>
    </row>
    <row r="84" spans="1:8" ht="36.75" thickBot="1" x14ac:dyDescent="0.3">
      <c r="A84" s="894"/>
      <c r="B84" s="21"/>
      <c r="C84" s="48" t="s">
        <v>69</v>
      </c>
      <c r="D84" s="913" t="s">
        <v>68</v>
      </c>
      <c r="E84" s="914"/>
      <c r="F84" s="48" t="s">
        <v>67</v>
      </c>
      <c r="G84" s="48" t="s">
        <v>66</v>
      </c>
      <c r="H84" s="48"/>
    </row>
    <row r="85" spans="1:8" ht="25.5" x14ac:dyDescent="0.25">
      <c r="A85" s="894"/>
      <c r="B85" s="45" t="s">
        <v>65</v>
      </c>
      <c r="C85" s="44" t="e">
        <f>+I56</f>
        <v>#REF!</v>
      </c>
      <c r="D85" s="47" t="s">
        <v>49</v>
      </c>
      <c r="E85" s="46"/>
      <c r="F85" s="45" t="s">
        <v>64</v>
      </c>
      <c r="G85" s="45" t="s">
        <v>63</v>
      </c>
      <c r="H85" s="44" t="e">
        <f>+C85</f>
        <v>#REF!</v>
      </c>
    </row>
    <row r="86" spans="1:8" s="5" customFormat="1" x14ac:dyDescent="0.25">
      <c r="A86" s="894"/>
      <c r="B86" s="40" t="s">
        <v>62</v>
      </c>
      <c r="C86" s="41">
        <v>0</v>
      </c>
      <c r="D86" s="43"/>
      <c r="E86" s="42"/>
      <c r="F86" s="42"/>
      <c r="G86" s="42"/>
      <c r="H86" s="41"/>
    </row>
    <row r="87" spans="1:8" s="5" customFormat="1" x14ac:dyDescent="0.25">
      <c r="A87" s="894"/>
      <c r="B87" s="40" t="s">
        <v>61</v>
      </c>
      <c r="C87" s="35" t="e">
        <f>+I50</f>
        <v>#REF!</v>
      </c>
      <c r="D87" s="39"/>
      <c r="E87" s="35"/>
      <c r="F87" s="35"/>
      <c r="G87" s="35"/>
      <c r="H87" s="35" t="e">
        <f t="shared" ref="H87:H92" si="12">+C87</f>
        <v>#REF!</v>
      </c>
    </row>
    <row r="88" spans="1:8" s="5" customFormat="1" ht="25.5" x14ac:dyDescent="0.25">
      <c r="A88" s="894"/>
      <c r="B88" s="40" t="s">
        <v>60</v>
      </c>
      <c r="C88" s="35" t="e">
        <f>+I51</f>
        <v>#REF!</v>
      </c>
      <c r="D88" s="39"/>
      <c r="E88" s="35"/>
      <c r="F88" s="35"/>
      <c r="G88" s="35"/>
      <c r="H88" s="35" t="e">
        <f t="shared" si="12"/>
        <v>#REF!</v>
      </c>
    </row>
    <row r="89" spans="1:8" s="5" customFormat="1" x14ac:dyDescent="0.25">
      <c r="A89" s="894"/>
      <c r="B89" s="40" t="s">
        <v>59</v>
      </c>
      <c r="C89" s="35" t="e">
        <f>+I52</f>
        <v>#REF!</v>
      </c>
      <c r="D89" s="39"/>
      <c r="E89" s="35"/>
      <c r="F89" s="35"/>
      <c r="G89" s="35"/>
      <c r="H89" s="35" t="e">
        <f t="shared" si="12"/>
        <v>#REF!</v>
      </c>
    </row>
    <row r="90" spans="1:8" s="5" customFormat="1" ht="25.5" x14ac:dyDescent="0.25">
      <c r="A90" s="894"/>
      <c r="B90" s="40" t="s">
        <v>58</v>
      </c>
      <c r="C90" s="35" t="e">
        <f>+I53</f>
        <v>#REF!</v>
      </c>
      <c r="D90" s="39"/>
      <c r="E90" s="35"/>
      <c r="F90" s="35"/>
      <c r="G90" s="35" t="s">
        <v>57</v>
      </c>
      <c r="H90" s="35" t="e">
        <f t="shared" si="12"/>
        <v>#REF!</v>
      </c>
    </row>
    <row r="91" spans="1:8" s="5" customFormat="1" ht="15.75" thickBot="1" x14ac:dyDescent="0.3">
      <c r="A91" s="894"/>
      <c r="B91" s="38" t="s">
        <v>56</v>
      </c>
      <c r="C91" s="35" t="e">
        <f>+I54</f>
        <v>#REF!</v>
      </c>
      <c r="D91" s="37"/>
      <c r="E91" s="36"/>
      <c r="F91" s="36"/>
      <c r="G91" s="36" t="s">
        <v>55</v>
      </c>
      <c r="H91" s="35" t="e">
        <f t="shared" si="12"/>
        <v>#REF!</v>
      </c>
    </row>
    <row r="92" spans="1:8" s="6" customFormat="1" ht="51.75" thickBot="1" x14ac:dyDescent="0.3">
      <c r="A92" s="894"/>
      <c r="B92" s="34" t="s">
        <v>54</v>
      </c>
      <c r="C92" s="32" t="e">
        <f>+E56</f>
        <v>#REF!</v>
      </c>
      <c r="D92" s="890" t="s">
        <v>51</v>
      </c>
      <c r="E92" s="892"/>
      <c r="F92" s="33" t="s">
        <v>45</v>
      </c>
      <c r="G92" s="33" t="s">
        <v>53</v>
      </c>
      <c r="H92" s="32" t="e">
        <f t="shared" si="12"/>
        <v>#REF!</v>
      </c>
    </row>
    <row r="93" spans="1:8" ht="15.75" thickBot="1" x14ac:dyDescent="0.3">
      <c r="A93" s="894"/>
      <c r="B93" s="21"/>
      <c r="C93" s="21"/>
      <c r="D93" s="915"/>
      <c r="E93" s="916"/>
      <c r="F93" s="21"/>
      <c r="G93" s="21"/>
      <c r="H93" s="21"/>
    </row>
    <row r="94" spans="1:8" s="6" customFormat="1" ht="15.75" thickBot="1" x14ac:dyDescent="0.3">
      <c r="A94" s="894"/>
      <c r="B94" s="31" t="s">
        <v>52</v>
      </c>
      <c r="C94" s="24" t="e">
        <f>+SUM(C85,C92,C93)</f>
        <v>#REF!</v>
      </c>
      <c r="D94" s="917"/>
      <c r="E94" s="918"/>
      <c r="F94" s="24"/>
      <c r="G94" s="24"/>
      <c r="H94" s="24" t="e">
        <f>+SUM(H85,H92,H93)</f>
        <v>#REF!</v>
      </c>
    </row>
    <row r="95" spans="1:8" ht="15.75" thickBot="1" x14ac:dyDescent="0.3">
      <c r="A95" s="894"/>
      <c r="B95" s="21" t="s">
        <v>181</v>
      </c>
      <c r="C95" s="27" t="e">
        <f>+G56</f>
        <v>#REF!</v>
      </c>
      <c r="D95" s="30" t="s">
        <v>51</v>
      </c>
      <c r="E95" s="29" t="s">
        <v>49</v>
      </c>
      <c r="F95" s="27"/>
      <c r="G95" s="27"/>
      <c r="H95" s="27" t="e">
        <f>+C95</f>
        <v>#REF!</v>
      </c>
    </row>
    <row r="96" spans="1:8" ht="26.25" thickBot="1" x14ac:dyDescent="0.3">
      <c r="A96" s="894"/>
      <c r="B96" s="21" t="s">
        <v>50</v>
      </c>
      <c r="C96" s="27" t="e">
        <f>+F56</f>
        <v>#REF!</v>
      </c>
      <c r="D96" s="919" t="s">
        <v>49</v>
      </c>
      <c r="E96" s="920"/>
      <c r="F96" s="27" t="s">
        <v>48</v>
      </c>
      <c r="G96" s="27" t="s">
        <v>44</v>
      </c>
      <c r="H96" s="27" t="e">
        <f>+C96</f>
        <v>#REF!</v>
      </c>
    </row>
    <row r="97" spans="1:8" ht="26.25" thickBot="1" x14ac:dyDescent="0.3">
      <c r="A97" s="894"/>
      <c r="B97" s="21" t="s">
        <v>47</v>
      </c>
      <c r="C97" s="27" t="e">
        <f>+H56</f>
        <v>#REF!</v>
      </c>
      <c r="D97" s="919" t="s">
        <v>46</v>
      </c>
      <c r="E97" s="920"/>
      <c r="F97" s="28" t="s">
        <v>45</v>
      </c>
      <c r="G97" s="27" t="s">
        <v>44</v>
      </c>
      <c r="H97" s="27" t="e">
        <f>+C97</f>
        <v>#REF!</v>
      </c>
    </row>
    <row r="98" spans="1:8" ht="15.75" customHeight="1" thickBot="1" x14ac:dyDescent="0.3">
      <c r="A98" s="894"/>
      <c r="B98" s="21" t="s">
        <v>43</v>
      </c>
      <c r="C98" s="27"/>
      <c r="D98" s="919" t="s">
        <v>42</v>
      </c>
      <c r="E98" s="920"/>
      <c r="F98" s="27"/>
      <c r="G98" s="27"/>
      <c r="H98" s="27"/>
    </row>
    <row r="99" spans="1:8" s="6" customFormat="1" ht="15.75" thickBot="1" x14ac:dyDescent="0.3">
      <c r="A99" s="894"/>
      <c r="B99" s="26" t="s">
        <v>41</v>
      </c>
      <c r="C99" s="24" t="e">
        <f>+SUM(C95:C98)</f>
        <v>#REF!</v>
      </c>
      <c r="D99" s="917"/>
      <c r="E99" s="918"/>
      <c r="F99" s="24"/>
      <c r="G99" s="24"/>
      <c r="H99" s="24" t="e">
        <f>+SUM(H95:H98)</f>
        <v>#REF!</v>
      </c>
    </row>
    <row r="100" spans="1:8" s="6" customFormat="1" ht="15.75" thickBot="1" x14ac:dyDescent="0.3">
      <c r="A100" s="894"/>
      <c r="B100" s="25" t="s">
        <v>40</v>
      </c>
      <c r="C100" s="24" t="e">
        <f>+C99+C94</f>
        <v>#REF!</v>
      </c>
      <c r="D100" s="917"/>
      <c r="E100" s="918"/>
      <c r="F100" s="24"/>
      <c r="G100" s="24"/>
      <c r="H100" s="24" t="e">
        <f>+H99+H94</f>
        <v>#REF!</v>
      </c>
    </row>
    <row r="101" spans="1:8" ht="15.75" thickBot="1" x14ac:dyDescent="0.3">
      <c r="A101" s="894"/>
      <c r="B101" s="23" t="s">
        <v>39</v>
      </c>
      <c r="C101" s="20"/>
      <c r="D101" s="911"/>
      <c r="E101" s="912"/>
      <c r="F101" s="20"/>
      <c r="G101" s="20"/>
      <c r="H101" s="20"/>
    </row>
    <row r="102" spans="1:8" ht="15.75" thickBot="1" x14ac:dyDescent="0.3">
      <c r="A102" s="894"/>
      <c r="B102" s="22" t="s">
        <v>38</v>
      </c>
      <c r="C102" s="20"/>
      <c r="D102" s="911"/>
      <c r="E102" s="912"/>
      <c r="F102" s="20"/>
      <c r="G102" s="20"/>
      <c r="H102" s="20"/>
    </row>
    <row r="103" spans="1:8" ht="15.75" thickBot="1" x14ac:dyDescent="0.3">
      <c r="A103" s="894"/>
      <c r="B103" s="22" t="s">
        <v>37</v>
      </c>
      <c r="C103" s="20"/>
      <c r="D103" s="911"/>
      <c r="E103" s="912"/>
      <c r="F103" s="20"/>
      <c r="G103" s="20"/>
      <c r="H103" s="20"/>
    </row>
    <row r="104" spans="1:8" ht="15.75" thickBot="1" x14ac:dyDescent="0.3">
      <c r="A104" s="894"/>
      <c r="B104" s="22" t="s">
        <v>36</v>
      </c>
      <c r="C104" s="20"/>
      <c r="D104" s="911"/>
      <c r="E104" s="912"/>
      <c r="F104" s="20"/>
      <c r="G104" s="20"/>
      <c r="H104" s="20"/>
    </row>
    <row r="105" spans="1:8" ht="15.75" thickBot="1" x14ac:dyDescent="0.3">
      <c r="A105" s="894"/>
      <c r="B105" s="21" t="s">
        <v>35</v>
      </c>
      <c r="C105" s="20"/>
      <c r="D105" s="911"/>
      <c r="E105" s="912"/>
      <c r="F105" s="20"/>
      <c r="G105" s="20"/>
      <c r="H105" s="20"/>
    </row>
    <row r="106" spans="1:8" ht="15" customHeight="1" x14ac:dyDescent="0.25">
      <c r="A106" s="894"/>
      <c r="B106" s="893" t="s">
        <v>34</v>
      </c>
      <c r="C106" s="922" t="s">
        <v>33</v>
      </c>
      <c r="D106" s="923"/>
      <c r="E106" s="926" t="s">
        <v>32</v>
      </c>
      <c r="F106" s="927"/>
      <c r="G106" s="927"/>
      <c r="H106" s="928"/>
    </row>
    <row r="107" spans="1:8" ht="25.5" customHeight="1" thickBot="1" x14ac:dyDescent="0.3">
      <c r="A107" s="894"/>
      <c r="B107" s="894"/>
      <c r="C107" s="924"/>
      <c r="D107" s="925"/>
      <c r="E107" s="929" t="s">
        <v>31</v>
      </c>
      <c r="F107" s="930"/>
      <c r="G107" s="930"/>
      <c r="H107" s="931"/>
    </row>
    <row r="108" spans="1:8" x14ac:dyDescent="0.25">
      <c r="A108" s="894"/>
      <c r="B108" s="894"/>
      <c r="C108" s="922"/>
      <c r="D108" s="923"/>
      <c r="E108" s="922"/>
      <c r="F108" s="932"/>
      <c r="G108" s="932"/>
      <c r="H108" s="923"/>
    </row>
    <row r="109" spans="1:8" ht="15.75" thickBot="1" x14ac:dyDescent="0.3">
      <c r="A109" s="895"/>
      <c r="B109" s="895"/>
      <c r="C109" s="924"/>
      <c r="D109" s="925"/>
      <c r="E109" s="924"/>
      <c r="F109" s="933"/>
      <c r="G109" s="933"/>
      <c r="H109" s="925"/>
    </row>
    <row r="113" spans="1:8" ht="15.75" thickBot="1" x14ac:dyDescent="0.3"/>
    <row r="114" spans="1:8" ht="15.75" customHeight="1" thickBot="1" x14ac:dyDescent="0.3">
      <c r="A114" s="893">
        <v>26</v>
      </c>
      <c r="B114" s="890" t="s">
        <v>29</v>
      </c>
      <c r="C114" s="891"/>
      <c r="D114" s="892"/>
    </row>
    <row r="115" spans="1:8" x14ac:dyDescent="0.25">
      <c r="A115" s="894"/>
      <c r="B115" s="19" t="s">
        <v>28</v>
      </c>
      <c r="C115" s="18"/>
      <c r="D115" s="17" t="e">
        <f>+C50</f>
        <v>#REF!</v>
      </c>
    </row>
    <row r="116" spans="1:8" x14ac:dyDescent="0.25">
      <c r="A116" s="894"/>
      <c r="B116" s="14" t="s">
        <v>27</v>
      </c>
      <c r="C116" s="16" t="s">
        <v>30</v>
      </c>
      <c r="D116" s="12" t="e">
        <f>+D115*20</f>
        <v>#REF!</v>
      </c>
    </row>
    <row r="117" spans="1:8" x14ac:dyDescent="0.25">
      <c r="A117" s="894"/>
      <c r="B117" s="14" t="s">
        <v>26</v>
      </c>
      <c r="C117" s="15"/>
      <c r="D117" s="12" t="e">
        <f>+C55</f>
        <v>#REF!</v>
      </c>
    </row>
    <row r="118" spans="1:8" x14ac:dyDescent="0.25">
      <c r="A118" s="894"/>
      <c r="B118" s="14" t="s">
        <v>25</v>
      </c>
      <c r="C118" s="13"/>
      <c r="D118" s="12" t="e">
        <f>+C49</f>
        <v>#REF!</v>
      </c>
    </row>
    <row r="119" spans="1:8" ht="15.75" thickBot="1" x14ac:dyDescent="0.3">
      <c r="A119" s="894"/>
      <c r="B119" s="11" t="s">
        <v>24</v>
      </c>
      <c r="C119" s="10"/>
      <c r="D119" s="9" t="e">
        <f>+D118+D116+D117</f>
        <v>#REF!</v>
      </c>
      <c r="E119" s="270"/>
    </row>
    <row r="120" spans="1:8" ht="15.75" customHeight="1" thickBot="1" x14ac:dyDescent="0.3">
      <c r="A120" s="894"/>
      <c r="B120" s="8" t="s">
        <v>23</v>
      </c>
      <c r="C120" s="934" t="e">
        <f>CONCATENATE(F120," : ",G120," = ",H120)</f>
        <v>#REF!</v>
      </c>
      <c r="D120" s="935"/>
      <c r="F120" s="7" t="e">
        <f>+FIXED(D119,1)</f>
        <v>#REF!</v>
      </c>
      <c r="G120" s="7" t="e">
        <f>+FIXED(+H85,1)</f>
        <v>#REF!</v>
      </c>
      <c r="H120" s="7" t="e">
        <f>+FIXED(F120/G120,1)</f>
        <v>#REF!</v>
      </c>
    </row>
    <row r="121" spans="1:8" ht="29.25" customHeight="1" thickBot="1" x14ac:dyDescent="0.3">
      <c r="A121" s="894"/>
      <c r="B121" s="8" t="s">
        <v>22</v>
      </c>
      <c r="C121" s="934" t="e">
        <f>CONCATENATE(F121," : ",G121," = ",H121)</f>
        <v>#REF!</v>
      </c>
      <c r="D121" s="935"/>
      <c r="F121" s="7" t="e">
        <f>+FIXED(E56,1)</f>
        <v>#REF!</v>
      </c>
      <c r="G121" s="7" t="e">
        <f>+G120</f>
        <v>#REF!</v>
      </c>
      <c r="H121" s="7" t="e">
        <f>+FIXED(F121/G121,1)</f>
        <v>#REF!</v>
      </c>
    </row>
    <row r="122" spans="1:8" ht="15.75" customHeight="1" thickBot="1" x14ac:dyDescent="0.3">
      <c r="A122" s="895"/>
      <c r="B122" s="8" t="s">
        <v>21</v>
      </c>
      <c r="C122" s="934" t="e">
        <f>CONCATENATE(F122," : ",G122," = ",H122)</f>
        <v>#REF!</v>
      </c>
      <c r="D122" s="935"/>
      <c r="F122" s="7" t="str">
        <f>+FIXED(H98,1)</f>
        <v>0,0</v>
      </c>
      <c r="G122" s="7" t="e">
        <f>+G121</f>
        <v>#REF!</v>
      </c>
      <c r="H122" s="7" t="e">
        <f>+FIXED(F122/G122,1)</f>
        <v>#REF!</v>
      </c>
    </row>
    <row r="123" spans="1:8" x14ac:dyDescent="0.25">
      <c r="C123" s="921"/>
      <c r="D123" s="921"/>
    </row>
    <row r="138" s="6" customFormat="1" x14ac:dyDescent="0.25"/>
  </sheetData>
  <mergeCells count="47">
    <mergeCell ref="C123:D123"/>
    <mergeCell ref="B114:D114"/>
    <mergeCell ref="B69:G69"/>
    <mergeCell ref="B60:G60"/>
    <mergeCell ref="B71:G71"/>
    <mergeCell ref="B72:G72"/>
    <mergeCell ref="B73:G73"/>
    <mergeCell ref="B74:G74"/>
    <mergeCell ref="B61:G61"/>
    <mergeCell ref="B75:G75"/>
    <mergeCell ref="B70:G70"/>
    <mergeCell ref="B62:G62"/>
    <mergeCell ref="B63:G63"/>
    <mergeCell ref="B64:G64"/>
    <mergeCell ref="B65:G65"/>
    <mergeCell ref="B66:G66"/>
    <mergeCell ref="A114:A122"/>
    <mergeCell ref="C120:D120"/>
    <mergeCell ref="C121:D121"/>
    <mergeCell ref="C122:D122"/>
    <mergeCell ref="A83:A109"/>
    <mergeCell ref="D103:E103"/>
    <mergeCell ref="D104:E104"/>
    <mergeCell ref="D105:E105"/>
    <mergeCell ref="B83:G83"/>
    <mergeCell ref="D84:E84"/>
    <mergeCell ref="D100:E100"/>
    <mergeCell ref="D101:E101"/>
    <mergeCell ref="D102:E102"/>
    <mergeCell ref="D99:E99"/>
    <mergeCell ref="D97:E97"/>
    <mergeCell ref="D92:E92"/>
    <mergeCell ref="A60:A77"/>
    <mergeCell ref="B106:B109"/>
    <mergeCell ref="C106:D107"/>
    <mergeCell ref="E106:H106"/>
    <mergeCell ref="E107:H107"/>
    <mergeCell ref="C108:D109"/>
    <mergeCell ref="E108:H109"/>
    <mergeCell ref="D98:E98"/>
    <mergeCell ref="B67:G67"/>
    <mergeCell ref="B68:G68"/>
    <mergeCell ref="B76:G76"/>
    <mergeCell ref="D93:E93"/>
    <mergeCell ref="D94:E94"/>
    <mergeCell ref="D96:E96"/>
    <mergeCell ref="B77:G7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
  <dimension ref="B2:U58"/>
  <sheetViews>
    <sheetView topLeftCell="A30" workbookViewId="0">
      <selection activeCell="I125" sqref="I125"/>
    </sheetView>
  </sheetViews>
  <sheetFormatPr baseColWidth="10" defaultColWidth="11.42578125" defaultRowHeight="14.25" outlineLevelRow="1" outlineLevelCol="1" x14ac:dyDescent="0.2"/>
  <cols>
    <col min="1" max="2" width="2" style="140" customWidth="1"/>
    <col min="3" max="3" width="19.28515625" style="140" customWidth="1"/>
    <col min="4" max="4" width="26.42578125" style="140" bestFit="1" customWidth="1"/>
    <col min="5" max="5" width="15.85546875" style="140" customWidth="1"/>
    <col min="6" max="6" width="16" style="140" customWidth="1"/>
    <col min="7" max="8" width="14.5703125" style="140" bestFit="1" customWidth="1"/>
    <col min="9" max="9" width="18.42578125" style="140" customWidth="1"/>
    <col min="10" max="11" width="11.42578125" style="140"/>
    <col min="12" max="13" width="2" style="140" customWidth="1"/>
    <col min="14" max="14" width="18.28515625" style="140" customWidth="1"/>
    <col min="15" max="15" width="26.42578125" style="140" bestFit="1" customWidth="1"/>
    <col min="16" max="16" width="15.85546875" style="141" customWidth="1"/>
    <col min="17" max="17" width="16" style="141" customWidth="1"/>
    <col min="18" max="18" width="14.5703125" style="141" bestFit="1" customWidth="1"/>
    <col min="19" max="19" width="16.5703125" style="141" customWidth="1" outlineLevel="1"/>
    <col min="20" max="20" width="18.42578125" style="141" customWidth="1" outlineLevel="1"/>
    <col min="21" max="16384" width="11.42578125" style="140"/>
  </cols>
  <sheetData>
    <row r="2" spans="2:20" ht="15" x14ac:dyDescent="0.25">
      <c r="C2" s="187" t="s">
        <v>173</v>
      </c>
      <c r="N2" s="187" t="s">
        <v>173</v>
      </c>
    </row>
    <row r="3" spans="2:20" ht="15" x14ac:dyDescent="0.25">
      <c r="C3" s="187"/>
      <c r="N3" s="187"/>
    </row>
    <row r="4" spans="2:20" ht="15" x14ac:dyDescent="0.25">
      <c r="B4" s="187">
        <v>1</v>
      </c>
      <c r="C4" s="187" t="s">
        <v>172</v>
      </c>
      <c r="H4" s="140" t="s">
        <v>114</v>
      </c>
      <c r="I4" s="244">
        <v>1.1200000000000001</v>
      </c>
      <c r="M4" s="187">
        <v>1</v>
      </c>
      <c r="N4" s="187" t="s">
        <v>172</v>
      </c>
      <c r="S4" s="141" t="s">
        <v>114</v>
      </c>
      <c r="T4" s="243">
        <v>1.1200000000000001</v>
      </c>
    </row>
    <row r="5" spans="2:20" ht="15" thickBot="1" x14ac:dyDescent="0.25"/>
    <row r="6" spans="2:20" ht="15" x14ac:dyDescent="0.25">
      <c r="B6" s="946"/>
      <c r="C6" s="936" t="s">
        <v>170</v>
      </c>
      <c r="D6" s="936" t="s">
        <v>169</v>
      </c>
      <c r="E6" s="938" t="s">
        <v>168</v>
      </c>
      <c r="F6" s="938"/>
      <c r="G6" s="938"/>
      <c r="H6" s="939"/>
      <c r="I6" s="940" t="s">
        <v>171</v>
      </c>
      <c r="M6" s="946"/>
      <c r="N6" s="936" t="s">
        <v>170</v>
      </c>
      <c r="O6" s="936" t="s">
        <v>169</v>
      </c>
      <c r="P6" s="938" t="s">
        <v>168</v>
      </c>
      <c r="Q6" s="938"/>
      <c r="R6" s="938"/>
      <c r="S6" s="939"/>
      <c r="T6" s="940" t="s">
        <v>167</v>
      </c>
    </row>
    <row r="7" spans="2:20" ht="15.75" thickBot="1" x14ac:dyDescent="0.3">
      <c r="B7" s="947"/>
      <c r="C7" s="937"/>
      <c r="D7" s="937"/>
      <c r="E7" s="242" t="s">
        <v>166</v>
      </c>
      <c r="F7" s="242" t="s">
        <v>165</v>
      </c>
      <c r="G7" s="242" t="s">
        <v>164</v>
      </c>
      <c r="H7" s="241" t="s">
        <v>163</v>
      </c>
      <c r="I7" s="941"/>
      <c r="M7" s="947"/>
      <c r="N7" s="937"/>
      <c r="O7" s="937"/>
      <c r="P7" s="242" t="s">
        <v>166</v>
      </c>
      <c r="Q7" s="242" t="s">
        <v>165</v>
      </c>
      <c r="R7" s="242" t="s">
        <v>164</v>
      </c>
      <c r="S7" s="241" t="s">
        <v>163</v>
      </c>
      <c r="T7" s="941"/>
    </row>
    <row r="8" spans="2:20" ht="15" x14ac:dyDescent="0.2">
      <c r="B8" s="942"/>
      <c r="C8" s="944" t="s">
        <v>162</v>
      </c>
      <c r="D8" s="239" t="s">
        <v>183</v>
      </c>
      <c r="E8" s="249">
        <v>115000</v>
      </c>
      <c r="F8" s="249">
        <v>25000</v>
      </c>
      <c r="G8" s="249">
        <v>80000</v>
      </c>
      <c r="H8" s="250">
        <v>50000</v>
      </c>
      <c r="I8" s="240">
        <f>SUM(E8:H8)</f>
        <v>270000</v>
      </c>
      <c r="M8" s="942"/>
      <c r="N8" s="944" t="s">
        <v>162</v>
      </c>
      <c r="O8" s="239" t="s">
        <v>161</v>
      </c>
      <c r="P8" s="238">
        <f t="shared" ref="P8:S11" si="0">+E8/1000</f>
        <v>115</v>
      </c>
      <c r="Q8" s="238">
        <f t="shared" si="0"/>
        <v>25</v>
      </c>
      <c r="R8" s="238">
        <f t="shared" si="0"/>
        <v>80</v>
      </c>
      <c r="S8" s="237">
        <f t="shared" si="0"/>
        <v>50</v>
      </c>
      <c r="T8" s="236">
        <f>SUM(P8:S8)</f>
        <v>270</v>
      </c>
    </row>
    <row r="9" spans="2:20" ht="15" x14ac:dyDescent="0.2">
      <c r="B9" s="942"/>
      <c r="C9" s="944"/>
      <c r="D9" s="225" t="s">
        <v>160</v>
      </c>
      <c r="E9" s="245">
        <v>115000</v>
      </c>
      <c r="F9" s="245">
        <v>25000</v>
      </c>
      <c r="G9" s="245">
        <v>330000</v>
      </c>
      <c r="H9" s="246">
        <v>390000</v>
      </c>
      <c r="I9" s="224">
        <f>SUM(E9:H9)</f>
        <v>860000</v>
      </c>
      <c r="M9" s="942"/>
      <c r="N9" s="944"/>
      <c r="O9" s="225" t="s">
        <v>160</v>
      </c>
      <c r="P9" s="230">
        <f t="shared" si="0"/>
        <v>115</v>
      </c>
      <c r="Q9" s="230">
        <f t="shared" si="0"/>
        <v>25</v>
      </c>
      <c r="R9" s="230">
        <f t="shared" si="0"/>
        <v>330</v>
      </c>
      <c r="S9" s="229">
        <f t="shared" si="0"/>
        <v>390</v>
      </c>
      <c r="T9" s="228">
        <f>SUM(P9:S9)</f>
        <v>860</v>
      </c>
    </row>
    <row r="10" spans="2:20" ht="15" x14ac:dyDescent="0.2">
      <c r="B10" s="942"/>
      <c r="C10" s="944"/>
      <c r="D10" s="225" t="s">
        <v>159</v>
      </c>
      <c r="E10" s="245">
        <v>170000</v>
      </c>
      <c r="F10" s="245">
        <v>60000</v>
      </c>
      <c r="G10" s="245">
        <v>345000</v>
      </c>
      <c r="H10" s="246">
        <v>320000</v>
      </c>
      <c r="I10" s="224">
        <f>SUM(E10:H10)</f>
        <v>895000</v>
      </c>
      <c r="M10" s="942"/>
      <c r="N10" s="944"/>
      <c r="O10" s="225" t="s">
        <v>159</v>
      </c>
      <c r="P10" s="230">
        <f t="shared" si="0"/>
        <v>170</v>
      </c>
      <c r="Q10" s="230">
        <f t="shared" si="0"/>
        <v>60</v>
      </c>
      <c r="R10" s="230">
        <f t="shared" si="0"/>
        <v>345</v>
      </c>
      <c r="S10" s="229">
        <f t="shared" si="0"/>
        <v>320</v>
      </c>
      <c r="T10" s="228">
        <f>SUM(P10:S10)</f>
        <v>895</v>
      </c>
    </row>
    <row r="11" spans="2:20" ht="15" x14ac:dyDescent="0.2">
      <c r="B11" s="943"/>
      <c r="C11" s="945"/>
      <c r="D11" s="225" t="s">
        <v>158</v>
      </c>
      <c r="E11" s="245">
        <v>115000</v>
      </c>
      <c r="F11" s="245">
        <v>0</v>
      </c>
      <c r="G11" s="245">
        <v>220000</v>
      </c>
      <c r="H11" s="246">
        <v>115000</v>
      </c>
      <c r="I11" s="224">
        <f>SUM(E11:H11)</f>
        <v>450000</v>
      </c>
      <c r="M11" s="943"/>
      <c r="N11" s="945"/>
      <c r="O11" s="225" t="s">
        <v>158</v>
      </c>
      <c r="P11" s="230">
        <f t="shared" si="0"/>
        <v>115</v>
      </c>
      <c r="Q11" s="230">
        <f t="shared" si="0"/>
        <v>0</v>
      </c>
      <c r="R11" s="230">
        <f t="shared" si="0"/>
        <v>220</v>
      </c>
      <c r="S11" s="229">
        <f t="shared" si="0"/>
        <v>115</v>
      </c>
      <c r="T11" s="228">
        <f>SUM(P11:S11)</f>
        <v>450</v>
      </c>
    </row>
    <row r="12" spans="2:20" ht="15" x14ac:dyDescent="0.25">
      <c r="B12" s="952"/>
      <c r="C12" s="953" t="s">
        <v>157</v>
      </c>
      <c r="D12" s="225" t="s">
        <v>156</v>
      </c>
      <c r="E12" s="245">
        <f>+E13+E19+E20</f>
        <v>900000</v>
      </c>
      <c r="F12" s="245">
        <f>+F13+F19+F20</f>
        <v>1010000</v>
      </c>
      <c r="G12" s="245">
        <f>+G13+G19+G20</f>
        <v>1040000</v>
      </c>
      <c r="H12" s="246">
        <f>+H13+H19+H20</f>
        <v>1110000</v>
      </c>
      <c r="I12" s="216">
        <f>+I13+I19+I20</f>
        <v>4060000</v>
      </c>
      <c r="M12" s="952"/>
      <c r="N12" s="953" t="s">
        <v>157</v>
      </c>
      <c r="O12" s="225" t="s">
        <v>156</v>
      </c>
      <c r="P12" s="235">
        <f>+P13+P19+P20</f>
        <v>900</v>
      </c>
      <c r="Q12" s="235">
        <f>+Q13+Q19+Q20</f>
        <v>1010</v>
      </c>
      <c r="R12" s="235">
        <f>+R13+R19+R20</f>
        <v>1040</v>
      </c>
      <c r="S12" s="235">
        <f>+S13+S19+S20</f>
        <v>1110</v>
      </c>
      <c r="T12" s="235">
        <f>+T13+T19+T20</f>
        <v>4060</v>
      </c>
    </row>
    <row r="13" spans="2:20" x14ac:dyDescent="0.2">
      <c r="B13" s="942"/>
      <c r="C13" s="944"/>
      <c r="D13" s="232" t="s">
        <v>155</v>
      </c>
      <c r="E13" s="245">
        <f>SUM(E14:E18)</f>
        <v>640000</v>
      </c>
      <c r="F13" s="245">
        <f>SUM(F14:F18)</f>
        <v>720000</v>
      </c>
      <c r="G13" s="245">
        <f>SUM(G14:G18)</f>
        <v>925000</v>
      </c>
      <c r="H13" s="246">
        <f>SUM(H14:H18)</f>
        <v>1110000</v>
      </c>
      <c r="I13" s="233">
        <f t="shared" ref="I13:I25" si="1">SUM(E13:H13)</f>
        <v>3395000</v>
      </c>
      <c r="M13" s="942"/>
      <c r="N13" s="944"/>
      <c r="O13" s="232" t="s">
        <v>155</v>
      </c>
      <c r="P13" s="230">
        <f t="shared" ref="P13:R18" si="2">+E13/1000</f>
        <v>640</v>
      </c>
      <c r="Q13" s="230">
        <f t="shared" si="2"/>
        <v>720</v>
      </c>
      <c r="R13" s="230">
        <f t="shared" si="2"/>
        <v>925</v>
      </c>
      <c r="S13" s="229">
        <f>S14+S15+S16+S17+S18</f>
        <v>1110</v>
      </c>
      <c r="T13" s="231">
        <f t="shared" ref="T13:T25" si="3">SUM(P13:S13)</f>
        <v>3395</v>
      </c>
    </row>
    <row r="14" spans="2:20" x14ac:dyDescent="0.2">
      <c r="B14" s="942"/>
      <c r="C14" s="944"/>
      <c r="D14" s="234" t="s">
        <v>154</v>
      </c>
      <c r="E14" s="245">
        <v>37000</v>
      </c>
      <c r="F14" s="245">
        <v>300000</v>
      </c>
      <c r="G14" s="245">
        <v>250000</v>
      </c>
      <c r="H14" s="246">
        <v>200000</v>
      </c>
      <c r="I14" s="198">
        <f t="shared" si="1"/>
        <v>787000</v>
      </c>
      <c r="M14" s="942"/>
      <c r="N14" s="944"/>
      <c r="O14" s="234" t="s">
        <v>154</v>
      </c>
      <c r="P14" s="230">
        <f t="shared" si="2"/>
        <v>37</v>
      </c>
      <c r="Q14" s="230">
        <f t="shared" si="2"/>
        <v>300</v>
      </c>
      <c r="R14" s="230">
        <f t="shared" si="2"/>
        <v>250</v>
      </c>
      <c r="S14" s="229">
        <v>200</v>
      </c>
      <c r="T14" s="195">
        <f t="shared" si="3"/>
        <v>787</v>
      </c>
    </row>
    <row r="15" spans="2:20" x14ac:dyDescent="0.2">
      <c r="B15" s="942"/>
      <c r="C15" s="944"/>
      <c r="D15" s="234" t="s">
        <v>153</v>
      </c>
      <c r="E15" s="245">
        <v>165000</v>
      </c>
      <c r="F15" s="245">
        <v>60000</v>
      </c>
      <c r="G15" s="245">
        <v>260000</v>
      </c>
      <c r="H15" s="246">
        <v>280000</v>
      </c>
      <c r="I15" s="198">
        <f t="shared" si="1"/>
        <v>765000</v>
      </c>
      <c r="M15" s="942"/>
      <c r="N15" s="944"/>
      <c r="O15" s="234" t="s">
        <v>153</v>
      </c>
      <c r="P15" s="230">
        <f t="shared" si="2"/>
        <v>165</v>
      </c>
      <c r="Q15" s="230">
        <f t="shared" si="2"/>
        <v>60</v>
      </c>
      <c r="R15" s="230">
        <f t="shared" si="2"/>
        <v>260</v>
      </c>
      <c r="S15" s="229">
        <f>+H15/1000</f>
        <v>280</v>
      </c>
      <c r="T15" s="195">
        <f t="shared" si="3"/>
        <v>765</v>
      </c>
    </row>
    <row r="16" spans="2:20" x14ac:dyDescent="0.2">
      <c r="B16" s="942"/>
      <c r="C16" s="944"/>
      <c r="D16" s="234" t="s">
        <v>152</v>
      </c>
      <c r="E16" s="245">
        <v>90000</v>
      </c>
      <c r="F16" s="245">
        <v>100000</v>
      </c>
      <c r="G16" s="245">
        <v>175000</v>
      </c>
      <c r="H16" s="246">
        <v>170000</v>
      </c>
      <c r="I16" s="198">
        <f t="shared" si="1"/>
        <v>535000</v>
      </c>
      <c r="M16" s="942"/>
      <c r="N16" s="944"/>
      <c r="O16" s="234" t="s">
        <v>152</v>
      </c>
      <c r="P16" s="230">
        <f t="shared" si="2"/>
        <v>90</v>
      </c>
      <c r="Q16" s="230">
        <f t="shared" si="2"/>
        <v>100</v>
      </c>
      <c r="R16" s="230">
        <f t="shared" si="2"/>
        <v>175</v>
      </c>
      <c r="S16" s="229">
        <f>+H16/1000</f>
        <v>170</v>
      </c>
      <c r="T16" s="195">
        <f t="shared" si="3"/>
        <v>535</v>
      </c>
    </row>
    <row r="17" spans="2:20" x14ac:dyDescent="0.2">
      <c r="B17" s="942"/>
      <c r="C17" s="944"/>
      <c r="D17" s="234" t="s">
        <v>151</v>
      </c>
      <c r="E17" s="245">
        <v>174000</v>
      </c>
      <c r="F17" s="245">
        <v>130000</v>
      </c>
      <c r="G17" s="245">
        <v>120000</v>
      </c>
      <c r="H17" s="246">
        <v>230000</v>
      </c>
      <c r="I17" s="198">
        <f t="shared" si="1"/>
        <v>654000</v>
      </c>
      <c r="M17" s="942"/>
      <c r="N17" s="944"/>
      <c r="O17" s="234" t="s">
        <v>151</v>
      </c>
      <c r="P17" s="230">
        <f t="shared" si="2"/>
        <v>174</v>
      </c>
      <c r="Q17" s="230">
        <f t="shared" si="2"/>
        <v>130</v>
      </c>
      <c r="R17" s="230">
        <f t="shared" si="2"/>
        <v>120</v>
      </c>
      <c r="S17" s="229">
        <f>+H17/1000</f>
        <v>230</v>
      </c>
      <c r="T17" s="195">
        <f t="shared" si="3"/>
        <v>654</v>
      </c>
    </row>
    <row r="18" spans="2:20" x14ac:dyDescent="0.2">
      <c r="B18" s="942"/>
      <c r="C18" s="944"/>
      <c r="D18" s="234" t="s">
        <v>150</v>
      </c>
      <c r="E18" s="245">
        <v>174000</v>
      </c>
      <c r="F18" s="245">
        <v>130000</v>
      </c>
      <c r="G18" s="245">
        <v>120000</v>
      </c>
      <c r="H18" s="246">
        <v>230000</v>
      </c>
      <c r="I18" s="198">
        <f t="shared" si="1"/>
        <v>654000</v>
      </c>
      <c r="M18" s="942"/>
      <c r="N18" s="944"/>
      <c r="O18" s="234" t="s">
        <v>150</v>
      </c>
      <c r="P18" s="230">
        <f t="shared" si="2"/>
        <v>174</v>
      </c>
      <c r="Q18" s="230">
        <f t="shared" si="2"/>
        <v>130</v>
      </c>
      <c r="R18" s="230">
        <f t="shared" si="2"/>
        <v>120</v>
      </c>
      <c r="S18" s="229">
        <f>+H18/1000</f>
        <v>230</v>
      </c>
      <c r="T18" s="195">
        <f t="shared" si="3"/>
        <v>654</v>
      </c>
    </row>
    <row r="19" spans="2:20" x14ac:dyDescent="0.2">
      <c r="B19" s="942"/>
      <c r="C19" s="944"/>
      <c r="D19" s="232" t="s">
        <v>149</v>
      </c>
      <c r="E19" s="245">
        <v>150000</v>
      </c>
      <c r="F19" s="245">
        <v>225000</v>
      </c>
      <c r="G19" s="245">
        <v>90000</v>
      </c>
      <c r="H19" s="245">
        <v>0</v>
      </c>
      <c r="I19" s="233">
        <f t="shared" si="1"/>
        <v>465000</v>
      </c>
      <c r="M19" s="942"/>
      <c r="N19" s="944"/>
      <c r="O19" s="232" t="s">
        <v>149</v>
      </c>
      <c r="P19" s="230">
        <v>150</v>
      </c>
      <c r="Q19" s="230">
        <v>225</v>
      </c>
      <c r="R19" s="230">
        <v>90</v>
      </c>
      <c r="S19" s="229">
        <v>0</v>
      </c>
      <c r="T19" s="231">
        <f t="shared" si="3"/>
        <v>465</v>
      </c>
    </row>
    <row r="20" spans="2:20" x14ac:dyDescent="0.2">
      <c r="B20" s="942"/>
      <c r="C20" s="944"/>
      <c r="D20" s="232" t="s">
        <v>148</v>
      </c>
      <c r="E20" s="245">
        <v>110000</v>
      </c>
      <c r="F20" s="245">
        <v>65000</v>
      </c>
      <c r="G20" s="245">
        <v>25000</v>
      </c>
      <c r="H20" s="246">
        <v>0</v>
      </c>
      <c r="I20" s="233">
        <f t="shared" si="1"/>
        <v>200000</v>
      </c>
      <c r="M20" s="942"/>
      <c r="N20" s="944"/>
      <c r="O20" s="232" t="s">
        <v>148</v>
      </c>
      <c r="P20" s="230">
        <f t="shared" ref="P20:S24" si="4">+E20/1000</f>
        <v>110</v>
      </c>
      <c r="Q20" s="230">
        <f t="shared" si="4"/>
        <v>65</v>
      </c>
      <c r="R20" s="230">
        <f t="shared" si="4"/>
        <v>25</v>
      </c>
      <c r="S20" s="229">
        <f t="shared" si="4"/>
        <v>0</v>
      </c>
      <c r="T20" s="231">
        <f t="shared" si="3"/>
        <v>200</v>
      </c>
    </row>
    <row r="21" spans="2:20" ht="15" x14ac:dyDescent="0.2">
      <c r="B21" s="943"/>
      <c r="C21" s="945"/>
      <c r="D21" s="225" t="s">
        <v>147</v>
      </c>
      <c r="E21" s="245">
        <v>170000</v>
      </c>
      <c r="F21" s="245">
        <v>60000</v>
      </c>
      <c r="G21" s="245">
        <v>260000</v>
      </c>
      <c r="H21" s="246">
        <v>420000</v>
      </c>
      <c r="I21" s="224">
        <f t="shared" si="1"/>
        <v>910000</v>
      </c>
      <c r="M21" s="943"/>
      <c r="N21" s="945"/>
      <c r="O21" s="225" t="s">
        <v>147</v>
      </c>
      <c r="P21" s="230">
        <f t="shared" si="4"/>
        <v>170</v>
      </c>
      <c r="Q21" s="230">
        <f t="shared" si="4"/>
        <v>60</v>
      </c>
      <c r="R21" s="230">
        <f t="shared" si="4"/>
        <v>260</v>
      </c>
      <c r="S21" s="229">
        <f t="shared" si="4"/>
        <v>420</v>
      </c>
      <c r="T21" s="228">
        <f t="shared" si="3"/>
        <v>910</v>
      </c>
    </row>
    <row r="22" spans="2:20" ht="30" hidden="1" x14ac:dyDescent="0.2">
      <c r="B22" s="227"/>
      <c r="C22" s="226" t="s">
        <v>143</v>
      </c>
      <c r="D22" s="225" t="s">
        <v>146</v>
      </c>
      <c r="E22" s="251"/>
      <c r="F22" s="251"/>
      <c r="G22" s="251"/>
      <c r="H22" s="252"/>
      <c r="I22" s="224">
        <f t="shared" si="1"/>
        <v>0</v>
      </c>
      <c r="M22" s="227"/>
      <c r="N22" s="226" t="s">
        <v>143</v>
      </c>
      <c r="O22" s="225" t="s">
        <v>146</v>
      </c>
      <c r="P22" s="230">
        <f t="shared" si="4"/>
        <v>0</v>
      </c>
      <c r="Q22" s="230">
        <f t="shared" si="4"/>
        <v>0</v>
      </c>
      <c r="R22" s="230">
        <f t="shared" si="4"/>
        <v>0</v>
      </c>
      <c r="S22" s="229">
        <f t="shared" si="4"/>
        <v>0</v>
      </c>
      <c r="T22" s="228">
        <f t="shared" si="3"/>
        <v>0</v>
      </c>
    </row>
    <row r="23" spans="2:20" ht="30" x14ac:dyDescent="0.2">
      <c r="B23" s="227"/>
      <c r="C23" s="226" t="s">
        <v>185</v>
      </c>
      <c r="D23" s="225" t="s">
        <v>184</v>
      </c>
      <c r="E23" s="251">
        <v>150000</v>
      </c>
      <c r="F23" s="251">
        <v>150000</v>
      </c>
      <c r="G23" s="251">
        <v>261200</v>
      </c>
      <c r="H23" s="252">
        <v>200000</v>
      </c>
      <c r="I23" s="224">
        <f t="shared" si="1"/>
        <v>761200</v>
      </c>
      <c r="M23" s="227"/>
      <c r="N23" s="226" t="s">
        <v>145</v>
      </c>
      <c r="O23" s="225" t="s">
        <v>144</v>
      </c>
      <c r="P23" s="230">
        <f t="shared" si="4"/>
        <v>150</v>
      </c>
      <c r="Q23" s="230">
        <f t="shared" si="4"/>
        <v>150</v>
      </c>
      <c r="R23" s="230">
        <f t="shared" si="4"/>
        <v>261.2</v>
      </c>
      <c r="S23" s="229">
        <f t="shared" si="4"/>
        <v>200</v>
      </c>
      <c r="T23" s="228">
        <f t="shared" si="3"/>
        <v>761.2</v>
      </c>
    </row>
    <row r="24" spans="2:20" ht="30.75" thickBot="1" x14ac:dyDescent="0.25">
      <c r="B24" s="227"/>
      <c r="C24" s="226" t="s">
        <v>143</v>
      </c>
      <c r="D24" s="225" t="s">
        <v>142</v>
      </c>
      <c r="E24" s="251">
        <v>105000</v>
      </c>
      <c r="F24" s="251">
        <v>0</v>
      </c>
      <c r="G24" s="251">
        <v>8000</v>
      </c>
      <c r="H24" s="252">
        <v>0</v>
      </c>
      <c r="I24" s="224">
        <f t="shared" si="1"/>
        <v>113000</v>
      </c>
      <c r="M24" s="256"/>
      <c r="N24" s="257" t="s">
        <v>143</v>
      </c>
      <c r="O24" s="223" t="s">
        <v>142</v>
      </c>
      <c r="P24" s="222">
        <f t="shared" si="4"/>
        <v>105</v>
      </c>
      <c r="Q24" s="222">
        <f t="shared" si="4"/>
        <v>0</v>
      </c>
      <c r="R24" s="222">
        <f t="shared" si="4"/>
        <v>8</v>
      </c>
      <c r="S24" s="221">
        <f t="shared" si="4"/>
        <v>0</v>
      </c>
      <c r="T24" s="220">
        <f t="shared" si="3"/>
        <v>113</v>
      </c>
    </row>
    <row r="25" spans="2:20" ht="15.75" thickBot="1" x14ac:dyDescent="0.3">
      <c r="B25" s="219"/>
      <c r="C25" s="954" t="s">
        <v>141</v>
      </c>
      <c r="D25" s="955"/>
      <c r="E25" s="218">
        <f>SUM(E8:E12,E21:E24)</f>
        <v>1840000</v>
      </c>
      <c r="F25" s="218">
        <f>SUM(F8:F12,F21:F24)</f>
        <v>1330000</v>
      </c>
      <c r="G25" s="218">
        <f>SUM(G8:G12,G21:G24)</f>
        <v>2544200</v>
      </c>
      <c r="H25" s="217">
        <f>SUM(H8:H12,H21:H24)</f>
        <v>2605000</v>
      </c>
      <c r="I25" s="216">
        <f t="shared" si="1"/>
        <v>8319200</v>
      </c>
      <c r="J25" s="215">
        <f>+H58/I25</f>
        <v>1.386671795364939</v>
      </c>
      <c r="M25" s="210"/>
      <c r="N25" s="950" t="s">
        <v>140</v>
      </c>
      <c r="O25" s="951"/>
      <c r="P25" s="209">
        <f>SUM(P8:P12,P21:P24)</f>
        <v>1840</v>
      </c>
      <c r="Q25" s="209">
        <f>SUM(Q8:Q12,Q21:Q24)</f>
        <v>1330</v>
      </c>
      <c r="R25" s="209">
        <f>SUM(R8:R12,R21:R24)</f>
        <v>2544.1999999999998</v>
      </c>
      <c r="S25" s="208">
        <f>SUM(S8:S12,S21:S24)</f>
        <v>2605</v>
      </c>
      <c r="T25" s="207">
        <f t="shared" si="3"/>
        <v>8319.2000000000007</v>
      </c>
    </row>
    <row r="26" spans="2:20" ht="15.75" thickBot="1" x14ac:dyDescent="0.3">
      <c r="B26" s="214"/>
      <c r="C26" s="948" t="s">
        <v>139</v>
      </c>
      <c r="D26" s="949"/>
      <c r="E26" s="213">
        <f>+E25/$I$4</f>
        <v>1642857.1428571427</v>
      </c>
      <c r="F26" s="213">
        <f>+F25/$I$4</f>
        <v>1187500</v>
      </c>
      <c r="G26" s="213">
        <f>+G25/$I$4</f>
        <v>2271607.1428571427</v>
      </c>
      <c r="H26" s="212">
        <f>+H25/$I$4</f>
        <v>2325892.8571428568</v>
      </c>
      <c r="I26" s="211">
        <f>+I25/$I$4</f>
        <v>7427857.1428571418</v>
      </c>
      <c r="M26" s="210"/>
      <c r="N26" s="950" t="s">
        <v>138</v>
      </c>
      <c r="O26" s="951"/>
      <c r="P26" s="209">
        <f>+P25/$T$4</f>
        <v>1642.8571428571427</v>
      </c>
      <c r="Q26" s="209">
        <f>+Q25/$T$4</f>
        <v>1187.5</v>
      </c>
      <c r="R26" s="209">
        <f>+R25/$T$4</f>
        <v>2271.6071428571427</v>
      </c>
      <c r="S26" s="208">
        <f>+S25/$T$4</f>
        <v>2325.8928571428569</v>
      </c>
      <c r="T26" s="207">
        <f>+T25/$T$4</f>
        <v>7427.8571428571431</v>
      </c>
    </row>
    <row r="27" spans="2:20" x14ac:dyDescent="0.2">
      <c r="C27" s="140" t="s">
        <v>137</v>
      </c>
      <c r="E27" s="206"/>
      <c r="F27" s="206"/>
      <c r="G27" s="206"/>
      <c r="H27" s="206"/>
      <c r="I27" s="206"/>
      <c r="N27" s="140" t="s">
        <v>137</v>
      </c>
      <c r="P27" s="205"/>
      <c r="Q27" s="205"/>
      <c r="R27" s="205"/>
      <c r="S27" s="205"/>
      <c r="T27" s="205"/>
    </row>
    <row r="28" spans="2:20" x14ac:dyDescent="0.2">
      <c r="C28" s="140" t="s">
        <v>136</v>
      </c>
      <c r="N28" s="140" t="s">
        <v>136</v>
      </c>
    </row>
    <row r="30" spans="2:20" ht="15" x14ac:dyDescent="0.25">
      <c r="B30" s="187">
        <v>2</v>
      </c>
      <c r="C30" s="187" t="s">
        <v>135</v>
      </c>
      <c r="D30" s="187"/>
      <c r="M30" s="187">
        <v>2</v>
      </c>
      <c r="N30" s="187" t="s">
        <v>135</v>
      </c>
      <c r="O30" s="187"/>
    </row>
    <row r="31" spans="2:20" ht="15.75" thickBot="1" x14ac:dyDescent="0.3">
      <c r="B31" s="187"/>
      <c r="C31" s="187"/>
      <c r="D31" s="187"/>
      <c r="M31" s="187"/>
      <c r="N31" s="187"/>
      <c r="O31" s="187"/>
    </row>
    <row r="32" spans="2:20" ht="15.75" thickBot="1" x14ac:dyDescent="0.3">
      <c r="B32" s="190"/>
      <c r="C32" s="147"/>
      <c r="D32" s="150"/>
      <c r="E32" s="150"/>
      <c r="F32" s="150"/>
      <c r="G32" s="150"/>
      <c r="H32" s="185" t="s">
        <v>127</v>
      </c>
      <c r="I32" s="185" t="s">
        <v>126</v>
      </c>
      <c r="M32" s="190"/>
      <c r="N32" s="147"/>
      <c r="O32" s="150"/>
      <c r="P32" s="189"/>
      <c r="Q32" s="189"/>
      <c r="R32" s="189"/>
      <c r="S32" s="202" t="s">
        <v>124</v>
      </c>
      <c r="T32" s="202" t="s">
        <v>129</v>
      </c>
    </row>
    <row r="33" spans="2:20" x14ac:dyDescent="0.2">
      <c r="B33" s="204"/>
      <c r="C33" s="176" t="s">
        <v>134</v>
      </c>
      <c r="D33" s="179"/>
      <c r="E33" s="179"/>
      <c r="F33" s="179"/>
      <c r="G33" s="179"/>
      <c r="H33" s="247">
        <v>500000</v>
      </c>
      <c r="I33" s="201">
        <f>+H33/$I$4</f>
        <v>446428.57142857136</v>
      </c>
      <c r="M33" s="204"/>
      <c r="N33" s="176" t="s">
        <v>134</v>
      </c>
      <c r="O33" s="179"/>
      <c r="P33" s="200"/>
      <c r="Q33" s="200"/>
      <c r="R33" s="200"/>
      <c r="S33" s="199">
        <f>+H33/1000</f>
        <v>500</v>
      </c>
      <c r="T33" s="199">
        <f>+S33/$T$4</f>
        <v>446.42857142857139</v>
      </c>
    </row>
    <row r="34" spans="2:20" x14ac:dyDescent="0.2">
      <c r="B34" s="204"/>
      <c r="C34" s="166" t="s">
        <v>133</v>
      </c>
      <c r="D34" s="169"/>
      <c r="E34" s="169"/>
      <c r="F34" s="169"/>
      <c r="G34" s="169"/>
      <c r="H34" s="248">
        <v>500000</v>
      </c>
      <c r="I34" s="197">
        <f>+H34/$I$4</f>
        <v>446428.57142857136</v>
      </c>
      <c r="M34" s="204"/>
      <c r="N34" s="166" t="s">
        <v>133</v>
      </c>
      <c r="O34" s="169"/>
      <c r="P34" s="196"/>
      <c r="Q34" s="196"/>
      <c r="R34" s="196"/>
      <c r="S34" s="195">
        <f>+H34/1000</f>
        <v>500</v>
      </c>
      <c r="T34" s="195">
        <f>+S34/$T$4</f>
        <v>446.42857142857139</v>
      </c>
    </row>
    <row r="35" spans="2:20" x14ac:dyDescent="0.2">
      <c r="B35" s="204"/>
      <c r="C35" s="166" t="s">
        <v>131</v>
      </c>
      <c r="D35" s="169"/>
      <c r="E35" s="169"/>
      <c r="F35" s="169"/>
      <c r="G35" s="169"/>
      <c r="H35" s="248">
        <v>500000</v>
      </c>
      <c r="I35" s="197">
        <f>+H35/$I$4</f>
        <v>446428.57142857136</v>
      </c>
      <c r="M35" s="204"/>
      <c r="N35" s="166" t="s">
        <v>131</v>
      </c>
      <c r="O35" s="169"/>
      <c r="P35" s="196"/>
      <c r="Q35" s="196"/>
      <c r="R35" s="196"/>
      <c r="S35" s="195">
        <f>+H35/1000</f>
        <v>500</v>
      </c>
      <c r="T35" s="195">
        <f>+S35/$T$4</f>
        <v>446.42857142857139</v>
      </c>
    </row>
    <row r="36" spans="2:20" ht="15" thickBot="1" x14ac:dyDescent="0.25">
      <c r="B36" s="204"/>
      <c r="C36" s="166" t="s">
        <v>132</v>
      </c>
      <c r="D36" s="169"/>
      <c r="E36" s="169"/>
      <c r="F36" s="169"/>
      <c r="G36" s="169"/>
      <c r="H36" s="248">
        <v>500000</v>
      </c>
      <c r="I36" s="197">
        <f>+H36/$I$4</f>
        <v>446428.57142857136</v>
      </c>
      <c r="M36" s="204"/>
      <c r="N36" s="166" t="s">
        <v>131</v>
      </c>
      <c r="O36" s="169"/>
      <c r="P36" s="196"/>
      <c r="Q36" s="196"/>
      <c r="R36" s="196"/>
      <c r="S36" s="195">
        <f>+H36/1000</f>
        <v>500</v>
      </c>
      <c r="T36" s="195">
        <f>+S36/$T$4</f>
        <v>446.42857142857139</v>
      </c>
    </row>
    <row r="37" spans="2:20" s="187" customFormat="1" ht="15.75" thickBot="1" x14ac:dyDescent="0.3">
      <c r="B37" s="190"/>
      <c r="C37" s="147" t="s">
        <v>87</v>
      </c>
      <c r="D37" s="150"/>
      <c r="E37" s="150"/>
      <c r="F37" s="150"/>
      <c r="G37" s="150"/>
      <c r="H37" s="192">
        <f>+SUM(H33:H36)</f>
        <v>2000000</v>
      </c>
      <c r="I37" s="191">
        <f>+SUM(I33:I36)</f>
        <v>1785714.2857142854</v>
      </c>
      <c r="M37" s="190"/>
      <c r="N37" s="147" t="s">
        <v>87</v>
      </c>
      <c r="O37" s="150"/>
      <c r="P37" s="189"/>
      <c r="Q37" s="189"/>
      <c r="R37" s="189"/>
      <c r="S37" s="188">
        <f>+SUM(S33:S36)</f>
        <v>2000</v>
      </c>
      <c r="T37" s="188">
        <f>+SUM(T33:T36)</f>
        <v>1785.7142857142856</v>
      </c>
    </row>
    <row r="39" spans="2:20" ht="15" x14ac:dyDescent="0.25">
      <c r="B39" s="187">
        <v>3</v>
      </c>
      <c r="C39" s="187" t="s">
        <v>130</v>
      </c>
      <c r="D39" s="187"/>
      <c r="M39" s="187">
        <v>3</v>
      </c>
      <c r="N39" s="187" t="s">
        <v>130</v>
      </c>
      <c r="O39" s="187"/>
    </row>
    <row r="40" spans="2:20" ht="15" thickBot="1" x14ac:dyDescent="0.25"/>
    <row r="41" spans="2:20" ht="15.75" thickBot="1" x14ac:dyDescent="0.3">
      <c r="B41" s="184"/>
      <c r="C41" s="184"/>
      <c r="D41" s="186"/>
      <c r="E41" s="186"/>
      <c r="F41" s="186"/>
      <c r="G41" s="186"/>
      <c r="H41" s="185" t="s">
        <v>127</v>
      </c>
      <c r="I41" s="185" t="s">
        <v>126</v>
      </c>
      <c r="M41" s="184"/>
      <c r="N41" s="184"/>
      <c r="O41" s="186"/>
      <c r="P41" s="203"/>
      <c r="Q41" s="203"/>
      <c r="R41" s="203"/>
      <c r="S41" s="202" t="s">
        <v>124</v>
      </c>
      <c r="T41" s="202" t="s">
        <v>129</v>
      </c>
    </row>
    <row r="42" spans="2:20" x14ac:dyDescent="0.2">
      <c r="B42" s="176"/>
      <c r="C42" s="176" t="s">
        <v>119</v>
      </c>
      <c r="D42" s="179"/>
      <c r="E42" s="179"/>
      <c r="F42" s="179"/>
      <c r="G42" s="179"/>
      <c r="H42" s="247">
        <f>650000+27500*I4</f>
        <v>680800</v>
      </c>
      <c r="I42" s="201">
        <f>+H42/$I$4</f>
        <v>607857.14285714284</v>
      </c>
      <c r="M42" s="176"/>
      <c r="N42" s="176" t="s">
        <v>119</v>
      </c>
      <c r="O42" s="179"/>
      <c r="P42" s="200"/>
      <c r="Q42" s="200"/>
      <c r="R42" s="200"/>
      <c r="S42" s="199">
        <f>+H42/1000</f>
        <v>680.8</v>
      </c>
      <c r="T42" s="199">
        <f>+S42/$T$4</f>
        <v>607.85714285714278</v>
      </c>
    </row>
    <row r="43" spans="2:20" x14ac:dyDescent="0.2">
      <c r="B43" s="166"/>
      <c r="C43" s="166" t="s">
        <v>118</v>
      </c>
      <c r="D43" s="169"/>
      <c r="E43" s="169"/>
      <c r="F43" s="169"/>
      <c r="G43" s="169"/>
      <c r="H43" s="248">
        <v>120000</v>
      </c>
      <c r="I43" s="197">
        <f>+H43/$I$4</f>
        <v>107142.85714285713</v>
      </c>
      <c r="M43" s="166"/>
      <c r="N43" s="166" t="s">
        <v>118</v>
      </c>
      <c r="O43" s="169"/>
      <c r="P43" s="196"/>
      <c r="Q43" s="196"/>
      <c r="R43" s="196"/>
      <c r="S43" s="195">
        <f>+H43/1000</f>
        <v>120</v>
      </c>
      <c r="T43" s="195">
        <f>+S43/$T$4</f>
        <v>107.14285714285714</v>
      </c>
    </row>
    <row r="44" spans="2:20" x14ac:dyDescent="0.2">
      <c r="B44" s="166"/>
      <c r="C44" s="166" t="s">
        <v>55</v>
      </c>
      <c r="D44" s="169"/>
      <c r="E44" s="169"/>
      <c r="F44" s="169"/>
      <c r="G44" s="169"/>
      <c r="H44" s="248">
        <v>80000</v>
      </c>
      <c r="I44" s="197">
        <f>+H44/$I$4</f>
        <v>71428.57142857142</v>
      </c>
      <c r="M44" s="166"/>
      <c r="N44" s="166" t="s">
        <v>55</v>
      </c>
      <c r="O44" s="169"/>
      <c r="P44" s="196"/>
      <c r="Q44" s="196"/>
      <c r="R44" s="196"/>
      <c r="S44" s="195">
        <f>+H44/1000</f>
        <v>80</v>
      </c>
      <c r="T44" s="195">
        <f>+S44/$T$4</f>
        <v>71.428571428571416</v>
      </c>
    </row>
    <row r="45" spans="2:20" ht="15" thickBot="1" x14ac:dyDescent="0.25">
      <c r="B45" s="157"/>
      <c r="C45" s="157" t="s">
        <v>190</v>
      </c>
      <c r="D45" s="159"/>
      <c r="E45" s="159"/>
      <c r="F45" s="159"/>
      <c r="G45" s="159"/>
      <c r="H45" s="158">
        <f>+I45*$I$4</f>
        <v>336000.00000000006</v>
      </c>
      <c r="I45" s="271">
        <v>300000</v>
      </c>
      <c r="M45" s="157"/>
      <c r="N45" s="157"/>
      <c r="O45" s="159"/>
      <c r="P45" s="194"/>
      <c r="Q45" s="194"/>
      <c r="R45" s="194"/>
      <c r="S45" s="193"/>
      <c r="T45" s="193"/>
    </row>
    <row r="46" spans="2:20" s="187" customFormat="1" ht="15.75" thickBot="1" x14ac:dyDescent="0.3">
      <c r="B46" s="190"/>
      <c r="C46" s="147" t="s">
        <v>87</v>
      </c>
      <c r="D46" s="150"/>
      <c r="E46" s="150"/>
      <c r="F46" s="150"/>
      <c r="G46" s="150"/>
      <c r="H46" s="192">
        <f>+SUM(H42:H45)</f>
        <v>1216800</v>
      </c>
      <c r="I46" s="191">
        <f>+SUM(I42:I45)</f>
        <v>1086428.5714285714</v>
      </c>
      <c r="M46" s="190"/>
      <c r="N46" s="147" t="s">
        <v>87</v>
      </c>
      <c r="O46" s="150"/>
      <c r="P46" s="189"/>
      <c r="Q46" s="189"/>
      <c r="R46" s="189"/>
      <c r="S46" s="188">
        <f>+SUM(S42:S45)</f>
        <v>880.8</v>
      </c>
      <c r="T46" s="188">
        <f>+SUM(T42:T45)</f>
        <v>786.42857142857133</v>
      </c>
    </row>
    <row r="48" spans="2:20" ht="15" x14ac:dyDescent="0.25">
      <c r="B48" s="187">
        <v>4</v>
      </c>
      <c r="C48" s="187" t="s">
        <v>128</v>
      </c>
      <c r="M48" s="187">
        <v>4</v>
      </c>
      <c r="N48" s="187" t="s">
        <v>128</v>
      </c>
    </row>
    <row r="49" spans="3:21" ht="15.75" thickBot="1" x14ac:dyDescent="0.3">
      <c r="C49" s="187"/>
      <c r="N49" s="187"/>
    </row>
    <row r="50" spans="3:21" ht="15.75" thickBot="1" x14ac:dyDescent="0.3">
      <c r="C50" s="184"/>
      <c r="D50" s="186"/>
      <c r="E50" s="186"/>
      <c r="F50" s="186"/>
      <c r="G50" s="186"/>
      <c r="H50" s="185" t="s">
        <v>127</v>
      </c>
      <c r="I50" s="185" t="s">
        <v>126</v>
      </c>
      <c r="M50" s="184"/>
      <c r="N50" s="146" t="s">
        <v>125</v>
      </c>
      <c r="O50" s="183"/>
      <c r="P50" s="182"/>
      <c r="Q50" s="182"/>
      <c r="R50" s="182"/>
      <c r="S50" s="181" t="s">
        <v>124</v>
      </c>
      <c r="T50" s="180" t="s">
        <v>123</v>
      </c>
      <c r="U50" s="180" t="s">
        <v>122</v>
      </c>
    </row>
    <row r="51" spans="3:21" x14ac:dyDescent="0.2">
      <c r="C51" s="176" t="s">
        <v>121</v>
      </c>
      <c r="D51" s="179"/>
      <c r="E51" s="179"/>
      <c r="F51" s="179"/>
      <c r="G51" s="179"/>
      <c r="H51" s="178">
        <f>+I25</f>
        <v>8319200</v>
      </c>
      <c r="I51" s="177">
        <f>+I26</f>
        <v>7427857.1428571418</v>
      </c>
      <c r="M51" s="176"/>
      <c r="N51" s="175" t="s">
        <v>121</v>
      </c>
      <c r="O51" s="174"/>
      <c r="P51" s="173"/>
      <c r="Q51" s="173"/>
      <c r="R51" s="173"/>
      <c r="S51" s="172">
        <f>+T25</f>
        <v>8319.2000000000007</v>
      </c>
      <c r="T51" s="171">
        <f>+T26</f>
        <v>7427.8571428571431</v>
      </c>
      <c r="U51" s="170">
        <f t="shared" ref="U51:U58" si="5">+T51/1000</f>
        <v>7.4278571428571434</v>
      </c>
    </row>
    <row r="52" spans="3:21" x14ac:dyDescent="0.2">
      <c r="C52" s="166" t="s">
        <v>120</v>
      </c>
      <c r="D52" s="169"/>
      <c r="E52" s="169"/>
      <c r="F52" s="169"/>
      <c r="G52" s="169"/>
      <c r="H52" s="168">
        <f>+H37</f>
        <v>2000000</v>
      </c>
      <c r="I52" s="167">
        <f>+I37</f>
        <v>1785714.2857142854</v>
      </c>
      <c r="M52" s="166"/>
      <c r="N52" s="165" t="s">
        <v>120</v>
      </c>
      <c r="O52" s="164"/>
      <c r="P52" s="163"/>
      <c r="Q52" s="163"/>
      <c r="R52" s="163"/>
      <c r="S52" s="162">
        <f>+S37</f>
        <v>2000</v>
      </c>
      <c r="T52" s="161">
        <f>+T37</f>
        <v>1785.7142857142856</v>
      </c>
      <c r="U52" s="160">
        <f t="shared" si="5"/>
        <v>1.7857142857142856</v>
      </c>
    </row>
    <row r="53" spans="3:21" x14ac:dyDescent="0.2">
      <c r="C53" s="166" t="s">
        <v>119</v>
      </c>
      <c r="D53" s="169"/>
      <c r="E53" s="169"/>
      <c r="F53" s="169"/>
      <c r="G53" s="169"/>
      <c r="H53" s="168">
        <f t="shared" ref="H53:I55" si="6">+H42</f>
        <v>680800</v>
      </c>
      <c r="I53" s="167">
        <f t="shared" si="6"/>
        <v>607857.14285714284</v>
      </c>
      <c r="M53" s="166"/>
      <c r="N53" s="165" t="s">
        <v>119</v>
      </c>
      <c r="O53" s="164"/>
      <c r="P53" s="163"/>
      <c r="Q53" s="163"/>
      <c r="R53" s="163"/>
      <c r="S53" s="162">
        <f t="shared" ref="S53:T55" si="7">+S42</f>
        <v>680.8</v>
      </c>
      <c r="T53" s="161">
        <f t="shared" si="7"/>
        <v>607.85714285714278</v>
      </c>
      <c r="U53" s="160">
        <f t="shared" si="5"/>
        <v>0.60785714285714276</v>
      </c>
    </row>
    <row r="54" spans="3:21" x14ac:dyDescent="0.2">
      <c r="C54" s="166" t="s">
        <v>118</v>
      </c>
      <c r="D54" s="169"/>
      <c r="E54" s="169"/>
      <c r="F54" s="169"/>
      <c r="G54" s="169"/>
      <c r="H54" s="168">
        <f t="shared" si="6"/>
        <v>120000</v>
      </c>
      <c r="I54" s="167">
        <f t="shared" si="6"/>
        <v>107142.85714285713</v>
      </c>
      <c r="M54" s="166"/>
      <c r="N54" s="165" t="s">
        <v>118</v>
      </c>
      <c r="O54" s="164"/>
      <c r="P54" s="163"/>
      <c r="Q54" s="163"/>
      <c r="R54" s="163"/>
      <c r="S54" s="162">
        <f t="shared" si="7"/>
        <v>120</v>
      </c>
      <c r="T54" s="161">
        <f t="shared" si="7"/>
        <v>107.14285714285714</v>
      </c>
      <c r="U54" s="160">
        <f t="shared" si="5"/>
        <v>0.10714285714285714</v>
      </c>
    </row>
    <row r="55" spans="3:21" x14ac:dyDescent="0.2">
      <c r="C55" s="166" t="s">
        <v>55</v>
      </c>
      <c r="D55" s="169"/>
      <c r="E55" s="169"/>
      <c r="F55" s="169"/>
      <c r="G55" s="169"/>
      <c r="H55" s="168">
        <f t="shared" si="6"/>
        <v>80000</v>
      </c>
      <c r="I55" s="167">
        <f t="shared" si="6"/>
        <v>71428.57142857142</v>
      </c>
      <c r="M55" s="166"/>
      <c r="N55" s="165" t="s">
        <v>55</v>
      </c>
      <c r="O55" s="164"/>
      <c r="P55" s="163"/>
      <c r="Q55" s="163"/>
      <c r="R55" s="163"/>
      <c r="S55" s="162">
        <f t="shared" si="7"/>
        <v>80</v>
      </c>
      <c r="T55" s="161">
        <f t="shared" si="7"/>
        <v>71.428571428571416</v>
      </c>
      <c r="U55" s="160">
        <f t="shared" si="5"/>
        <v>7.1428571428571411E-2</v>
      </c>
    </row>
    <row r="56" spans="3:21" outlineLevel="1" x14ac:dyDescent="0.2">
      <c r="C56" s="166" t="s">
        <v>117</v>
      </c>
      <c r="D56" s="169"/>
      <c r="E56" s="169"/>
      <c r="F56" s="169"/>
      <c r="G56" s="169"/>
      <c r="H56" s="168">
        <f>+I56*I4</f>
        <v>0</v>
      </c>
      <c r="I56" s="167">
        <f>10000000-SUM(I51:I55)</f>
        <v>0</v>
      </c>
      <c r="M56" s="166"/>
      <c r="N56" s="165" t="s">
        <v>117</v>
      </c>
      <c r="O56" s="164"/>
      <c r="P56" s="163"/>
      <c r="Q56" s="163"/>
      <c r="R56" s="163"/>
      <c r="S56" s="162">
        <f>+T56*T4</f>
        <v>0</v>
      </c>
      <c r="T56" s="161">
        <f>10000-SUM(T51:T55)</f>
        <v>0</v>
      </c>
      <c r="U56" s="160">
        <f t="shared" si="5"/>
        <v>0</v>
      </c>
    </row>
    <row r="57" spans="3:21" ht="15" outlineLevel="1" thickBot="1" x14ac:dyDescent="0.25">
      <c r="C57" s="157" t="s">
        <v>190</v>
      </c>
      <c r="D57" s="159"/>
      <c r="E57" s="159"/>
      <c r="F57" s="159"/>
      <c r="G57" s="159"/>
      <c r="H57" s="158">
        <f>+I57*$I$4</f>
        <v>336000.00000000006</v>
      </c>
      <c r="I57" s="271">
        <v>300000</v>
      </c>
      <c r="M57" s="157"/>
      <c r="N57" s="156"/>
      <c r="O57" s="155"/>
      <c r="P57" s="154"/>
      <c r="Q57" s="154"/>
      <c r="R57" s="154"/>
      <c r="S57" s="153"/>
      <c r="T57" s="152"/>
      <c r="U57" s="151">
        <f t="shared" si="5"/>
        <v>0</v>
      </c>
    </row>
    <row r="58" spans="3:21" ht="15.75" thickBot="1" x14ac:dyDescent="0.3">
      <c r="C58" s="147" t="s">
        <v>116</v>
      </c>
      <c r="D58" s="150"/>
      <c r="E58" s="150"/>
      <c r="F58" s="150"/>
      <c r="G58" s="150"/>
      <c r="H58" s="149">
        <f>+SUM(H51:H57)</f>
        <v>11536000</v>
      </c>
      <c r="I58" s="148">
        <f>+SUM(I51:I57)</f>
        <v>10299999.999999998</v>
      </c>
      <c r="M58" s="147"/>
      <c r="N58" s="146" t="s">
        <v>115</v>
      </c>
      <c r="O58" s="145"/>
      <c r="P58" s="144"/>
      <c r="Q58" s="144"/>
      <c r="R58" s="144"/>
      <c r="S58" s="143">
        <f>+SUM(S51:S57)</f>
        <v>11200</v>
      </c>
      <c r="T58" s="143">
        <f>+SUM(T51:T57)</f>
        <v>10000</v>
      </c>
      <c r="U58" s="142">
        <f t="shared" si="5"/>
        <v>10</v>
      </c>
    </row>
  </sheetData>
  <mergeCells count="22">
    <mergeCell ref="C26:D26"/>
    <mergeCell ref="N26:O26"/>
    <mergeCell ref="B12:B21"/>
    <mergeCell ref="C12:C21"/>
    <mergeCell ref="M12:M21"/>
    <mergeCell ref="N12:N21"/>
    <mergeCell ref="C25:D25"/>
    <mergeCell ref="N25:O25"/>
    <mergeCell ref="N6:N7"/>
    <mergeCell ref="O6:O7"/>
    <mergeCell ref="P6:S6"/>
    <mergeCell ref="T6:T7"/>
    <mergeCell ref="B8:B11"/>
    <mergeCell ref="C8:C11"/>
    <mergeCell ref="M8:M11"/>
    <mergeCell ref="N8:N11"/>
    <mergeCell ref="B6:B7"/>
    <mergeCell ref="C6:C7"/>
    <mergeCell ref="D6:D7"/>
    <mergeCell ref="E6:H6"/>
    <mergeCell ref="I6:I7"/>
    <mergeCell ref="M6:M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
    <pageSetUpPr fitToPage="1"/>
  </sheetPr>
  <dimension ref="A1:Z36"/>
  <sheetViews>
    <sheetView topLeftCell="A18" zoomScale="90" zoomScaleNormal="90" workbookViewId="0">
      <selection activeCell="A18" sqref="A1:XFD1048576"/>
    </sheetView>
  </sheetViews>
  <sheetFormatPr baseColWidth="10" defaultColWidth="11.42578125" defaultRowHeight="15" outlineLevelCol="2" x14ac:dyDescent="0.25"/>
  <cols>
    <col min="1" max="1" width="4.5703125" style="2" customWidth="1"/>
    <col min="2" max="2" width="9.28515625" style="2" customWidth="1"/>
    <col min="3" max="3" width="19.7109375" style="2" customWidth="1"/>
    <col min="4" max="4" width="47.28515625" style="2" customWidth="1"/>
    <col min="5" max="5" width="25.85546875" style="2" customWidth="1"/>
    <col min="6" max="6" width="36.42578125" style="2" customWidth="1"/>
    <col min="7" max="7" width="15.42578125" style="2" customWidth="1" outlineLevel="1"/>
    <col min="8" max="8" width="13.7109375" style="2" customWidth="1" outlineLevel="1"/>
    <col min="9" max="9" width="14.85546875" style="2" customWidth="1" outlineLevel="1"/>
    <col min="10" max="10" width="13.5703125" style="2" customWidth="1" outlineLevel="1"/>
    <col min="11" max="11" width="14.85546875" style="2" customWidth="1" outlineLevel="1"/>
    <col min="12" max="12" width="16.140625" style="2" customWidth="1" outlineLevel="1" collapsed="1"/>
    <col min="13" max="15" width="16.28515625" style="472" customWidth="1" outlineLevel="2"/>
    <col min="16" max="16" width="15.85546875" style="473" customWidth="1" outlineLevel="2"/>
    <col min="17" max="17" width="15" style="2" customWidth="1" outlineLevel="1"/>
    <col min="18" max="18" width="16.140625" style="2" customWidth="1" outlineLevel="1"/>
    <col min="19" max="21" width="12" style="2" customWidth="1" outlineLevel="1"/>
    <col min="22" max="23" width="14.5703125" style="2" customWidth="1"/>
    <col min="24" max="24" width="14.7109375" style="2" customWidth="1"/>
    <col min="25" max="25" width="10.7109375" style="2" customWidth="1"/>
    <col min="26" max="26" width="23.5703125" style="2" customWidth="1"/>
    <col min="27" max="16384" width="11.42578125" style="2"/>
  </cols>
  <sheetData>
    <row r="1" spans="1:26" x14ac:dyDescent="0.25">
      <c r="A1" s="308"/>
      <c r="B1" s="308"/>
      <c r="C1" s="308"/>
      <c r="D1" s="308"/>
      <c r="E1" s="308"/>
      <c r="F1" s="308"/>
      <c r="G1" s="308"/>
      <c r="H1" s="308"/>
      <c r="I1" s="308"/>
      <c r="J1" s="308"/>
      <c r="K1" s="308"/>
      <c r="L1" s="394"/>
      <c r="M1" s="443"/>
      <c r="N1" s="443"/>
      <c r="O1" s="443"/>
      <c r="P1" s="327"/>
      <c r="Q1" s="308"/>
      <c r="R1" s="308"/>
      <c r="S1" s="308"/>
      <c r="T1" s="308"/>
      <c r="U1" s="308"/>
      <c r="V1" s="308"/>
      <c r="W1" s="308"/>
      <c r="X1" s="308"/>
      <c r="Y1" s="308"/>
      <c r="Z1" s="308"/>
    </row>
    <row r="2" spans="1:26" x14ac:dyDescent="0.25">
      <c r="A2" s="308"/>
      <c r="B2" s="308"/>
      <c r="C2" s="308"/>
      <c r="D2" s="308"/>
      <c r="E2" s="308"/>
      <c r="F2" s="308"/>
      <c r="G2" s="308"/>
      <c r="H2" s="344"/>
      <c r="I2" s="344"/>
      <c r="J2" s="308"/>
      <c r="K2" s="308"/>
      <c r="L2" s="394"/>
      <c r="M2" s="443"/>
      <c r="N2" s="443"/>
      <c r="O2" s="443"/>
      <c r="P2" s="327"/>
      <c r="Q2" s="308"/>
      <c r="R2" s="308"/>
      <c r="S2" s="308"/>
      <c r="T2" s="308"/>
      <c r="U2" s="308"/>
      <c r="V2" s="308"/>
      <c r="W2" s="308"/>
      <c r="X2" s="308"/>
      <c r="Y2" s="308"/>
      <c r="Z2" s="308"/>
    </row>
    <row r="3" spans="1:26" x14ac:dyDescent="0.25">
      <c r="A3" s="308"/>
      <c r="B3" s="308"/>
      <c r="C3" s="308"/>
      <c r="D3" s="308"/>
      <c r="E3" s="308"/>
      <c r="F3" s="308"/>
      <c r="G3" s="308"/>
      <c r="H3" s="344"/>
      <c r="I3" s="344"/>
      <c r="J3" s="308"/>
      <c r="K3" s="308"/>
      <c r="L3" s="394"/>
      <c r="M3" s="443"/>
      <c r="N3" s="443"/>
      <c r="O3" s="443"/>
      <c r="P3" s="327"/>
      <c r="Q3" s="308"/>
      <c r="R3" s="308"/>
      <c r="S3" s="308"/>
      <c r="T3" s="308"/>
      <c r="U3" s="308"/>
      <c r="V3" s="308"/>
      <c r="W3" s="308"/>
      <c r="X3" s="308"/>
      <c r="Y3" s="308"/>
      <c r="Z3" s="308"/>
    </row>
    <row r="4" spans="1:26" x14ac:dyDescent="0.25">
      <c r="A4" s="308"/>
      <c r="B4" s="308"/>
      <c r="C4" s="308"/>
      <c r="D4" s="308"/>
      <c r="E4" s="308"/>
      <c r="F4" s="308"/>
      <c r="G4" s="308"/>
      <c r="H4" s="344"/>
      <c r="I4" s="344"/>
      <c r="J4" s="308"/>
      <c r="K4" s="308"/>
      <c r="L4" s="394"/>
      <c r="M4" s="443"/>
      <c r="N4" s="443"/>
      <c r="O4" s="443"/>
      <c r="P4" s="327"/>
      <c r="Q4" s="308"/>
      <c r="R4" s="308"/>
      <c r="S4" s="308"/>
      <c r="T4" s="308"/>
      <c r="U4" s="308"/>
      <c r="V4" s="308"/>
      <c r="W4" s="308"/>
      <c r="X4" s="308"/>
      <c r="Y4" s="308"/>
      <c r="Z4" s="308"/>
    </row>
    <row r="5" spans="1:26" x14ac:dyDescent="0.25">
      <c r="A5" s="308"/>
      <c r="B5" s="308"/>
      <c r="C5" s="308"/>
      <c r="D5" s="308"/>
      <c r="E5" s="308"/>
      <c r="F5" s="308"/>
      <c r="G5" s="308"/>
      <c r="H5" s="344"/>
      <c r="I5" s="344"/>
      <c r="J5" s="308"/>
      <c r="K5" s="308"/>
      <c r="L5" s="394"/>
      <c r="M5" s="443"/>
      <c r="N5" s="443"/>
      <c r="O5" s="443"/>
      <c r="P5" s="327"/>
      <c r="Q5" s="308"/>
      <c r="R5" s="308"/>
      <c r="S5" s="308"/>
      <c r="T5" s="308"/>
      <c r="U5" s="308"/>
      <c r="V5" s="308"/>
      <c r="W5" s="308"/>
      <c r="X5" s="308"/>
      <c r="Y5" s="308"/>
      <c r="Z5" s="308"/>
    </row>
    <row r="6" spans="1:26" ht="15.75" thickBot="1" x14ac:dyDescent="0.3">
      <c r="A6" s="308"/>
      <c r="B6" s="308"/>
      <c r="C6" s="308"/>
      <c r="D6" s="308"/>
      <c r="E6" s="308"/>
      <c r="F6" s="308"/>
      <c r="G6" s="308"/>
      <c r="H6" s="308"/>
      <c r="I6" s="308"/>
      <c r="J6" s="308"/>
      <c r="K6" s="308"/>
      <c r="L6" s="394"/>
      <c r="M6" s="443"/>
      <c r="N6" s="443"/>
      <c r="O6" s="443"/>
      <c r="P6" s="327"/>
      <c r="Q6" s="308"/>
      <c r="R6" s="308"/>
      <c r="S6" s="308"/>
      <c r="T6" s="308"/>
      <c r="U6" s="308"/>
      <c r="V6" s="308"/>
      <c r="W6" s="308"/>
      <c r="X6" s="308"/>
      <c r="Y6" s="308"/>
      <c r="Z6" s="308"/>
    </row>
    <row r="7" spans="1:26" s="469" customFormat="1" ht="77.25" customHeight="1" thickBot="1" x14ac:dyDescent="0.35">
      <c r="A7" s="410"/>
      <c r="B7" s="957" t="s">
        <v>234</v>
      </c>
      <c r="C7" s="958"/>
      <c r="D7" s="958"/>
      <c r="E7" s="958"/>
      <c r="F7" s="958"/>
      <c r="G7" s="958"/>
      <c r="H7" s="958"/>
      <c r="I7" s="958"/>
      <c r="J7" s="958"/>
      <c r="K7" s="958"/>
      <c r="L7" s="958"/>
      <c r="M7" s="958"/>
      <c r="N7" s="958"/>
      <c r="O7" s="958"/>
      <c r="P7" s="958"/>
      <c r="Q7" s="958"/>
      <c r="R7" s="958"/>
      <c r="S7" s="958"/>
      <c r="T7" s="958"/>
      <c r="U7" s="958"/>
      <c r="V7" s="958"/>
      <c r="W7" s="958"/>
      <c r="X7" s="958"/>
      <c r="Y7" s="958"/>
      <c r="Z7" s="959"/>
    </row>
    <row r="8" spans="1:26" s="470" customFormat="1" ht="38.25" customHeight="1" thickBot="1" x14ac:dyDescent="0.3">
      <c r="A8" s="413"/>
      <c r="B8" s="960" t="s">
        <v>235</v>
      </c>
      <c r="C8" s="961"/>
      <c r="D8" s="961"/>
      <c r="E8" s="961"/>
      <c r="F8" s="961"/>
      <c r="G8" s="961"/>
      <c r="H8" s="961"/>
      <c r="I8" s="961"/>
      <c r="J8" s="961"/>
      <c r="K8" s="961"/>
      <c r="L8" s="961"/>
      <c r="M8" s="961"/>
      <c r="N8" s="961"/>
      <c r="O8" s="961"/>
      <c r="P8" s="961"/>
      <c r="Q8" s="961"/>
      <c r="R8" s="961"/>
      <c r="S8" s="961"/>
      <c r="T8" s="961"/>
      <c r="U8" s="961"/>
      <c r="V8" s="961"/>
      <c r="W8" s="961"/>
      <c r="X8" s="961"/>
      <c r="Y8" s="961"/>
      <c r="Z8" s="962"/>
    </row>
    <row r="9" spans="1:26" s="471" customFormat="1" ht="13.5" thickBot="1" x14ac:dyDescent="0.25">
      <c r="A9" s="304"/>
      <c r="B9" s="304"/>
      <c r="C9" s="304"/>
      <c r="D9" s="304"/>
      <c r="E9" s="304"/>
      <c r="F9" s="304"/>
      <c r="G9" s="304"/>
      <c r="H9" s="304"/>
      <c r="I9" s="304"/>
      <c r="J9" s="304"/>
      <c r="K9" s="304"/>
      <c r="L9" s="441"/>
      <c r="M9" s="444"/>
      <c r="N9" s="444"/>
      <c r="O9" s="444"/>
      <c r="P9" s="328"/>
      <c r="Q9" s="304"/>
      <c r="R9" s="304"/>
      <c r="S9" s="304"/>
      <c r="T9" s="304"/>
      <c r="U9" s="304"/>
      <c r="V9" s="304"/>
      <c r="W9" s="304"/>
      <c r="X9" s="304"/>
      <c r="Y9" s="304"/>
      <c r="Z9" s="304"/>
    </row>
    <row r="10" spans="1:26" s="471" customFormat="1" ht="13.5" thickBot="1" x14ac:dyDescent="0.25">
      <c r="A10" s="304"/>
      <c r="B10" s="304"/>
      <c r="C10" s="304"/>
      <c r="D10" s="346" t="s">
        <v>0</v>
      </c>
      <c r="E10" s="352">
        <v>43647</v>
      </c>
      <c r="F10" s="461"/>
      <c r="G10" s="347"/>
      <c r="H10" s="304"/>
      <c r="I10" s="304"/>
      <c r="J10" s="331" t="s">
        <v>18</v>
      </c>
      <c r="K10" s="435"/>
      <c r="L10" s="442">
        <v>0.12</v>
      </c>
      <c r="M10" s="445"/>
      <c r="N10" s="445"/>
      <c r="O10" s="445"/>
      <c r="P10" s="345"/>
      <c r="Q10" s="304"/>
      <c r="R10" s="304"/>
      <c r="S10" s="304"/>
      <c r="T10" s="304"/>
      <c r="U10" s="304"/>
      <c r="V10" s="304"/>
      <c r="W10" s="304"/>
      <c r="X10" s="304"/>
      <c r="Y10" s="331" t="s">
        <v>198</v>
      </c>
      <c r="Z10" s="332" t="s">
        <v>312</v>
      </c>
    </row>
    <row r="11" spans="1:26" s="471" customFormat="1" ht="13.5" thickBot="1" x14ac:dyDescent="0.25">
      <c r="A11" s="304"/>
      <c r="B11" s="304"/>
      <c r="C11" s="304"/>
      <c r="D11" s="353" t="s">
        <v>1</v>
      </c>
      <c r="E11" s="467">
        <v>44348</v>
      </c>
      <c r="F11" s="468"/>
      <c r="G11" s="348"/>
      <c r="H11" s="304"/>
      <c r="I11" s="304"/>
      <c r="J11" s="304"/>
      <c r="K11" s="304"/>
      <c r="L11" s="441"/>
      <c r="M11" s="444"/>
      <c r="N11" s="444"/>
      <c r="O11" s="444"/>
      <c r="P11" s="328"/>
      <c r="Q11" s="304"/>
      <c r="R11" s="304"/>
      <c r="S11" s="304"/>
      <c r="T11" s="304"/>
      <c r="U11" s="304"/>
      <c r="V11" s="304"/>
      <c r="W11" s="304"/>
      <c r="X11" s="304"/>
      <c r="Y11" s="304"/>
      <c r="Z11" s="304"/>
    </row>
    <row r="12" spans="1:26" s="471" customFormat="1" ht="13.5" thickTop="1" x14ac:dyDescent="0.2">
      <c r="A12" s="304"/>
      <c r="B12" s="304" t="s">
        <v>311</v>
      </c>
      <c r="C12" s="304"/>
      <c r="D12" s="304"/>
      <c r="E12" s="304"/>
      <c r="F12" s="304"/>
      <c r="G12" s="304"/>
      <c r="H12" s="304"/>
      <c r="I12" s="304"/>
      <c r="J12" s="304"/>
      <c r="K12" s="304"/>
      <c r="L12" s="441"/>
      <c r="M12" s="444"/>
      <c r="N12" s="444" t="s">
        <v>293</v>
      </c>
      <c r="O12" s="444">
        <v>1</v>
      </c>
      <c r="P12" s="328"/>
      <c r="Q12" s="304"/>
      <c r="R12" s="304"/>
      <c r="S12" s="304"/>
      <c r="T12" s="304"/>
      <c r="U12" s="304"/>
      <c r="V12" s="304"/>
      <c r="W12" s="304"/>
      <c r="X12" s="304"/>
      <c r="Y12" s="304"/>
      <c r="Z12" s="304"/>
    </row>
    <row r="13" spans="1:26" ht="63" customHeight="1" x14ac:dyDescent="0.25">
      <c r="A13" s="308"/>
      <c r="B13" s="963" t="s">
        <v>17</v>
      </c>
      <c r="C13" s="963" t="s">
        <v>214</v>
      </c>
      <c r="D13" s="963" t="s">
        <v>294</v>
      </c>
      <c r="E13" s="963" t="s">
        <v>281</v>
      </c>
      <c r="F13" s="964" t="s">
        <v>19</v>
      </c>
      <c r="G13" s="965"/>
      <c r="H13" s="965"/>
      <c r="I13" s="965"/>
      <c r="J13" s="966"/>
      <c r="K13" s="963" t="s">
        <v>282</v>
      </c>
      <c r="L13" s="963" t="s">
        <v>290</v>
      </c>
      <c r="M13" s="963" t="s">
        <v>297</v>
      </c>
      <c r="N13" s="963" t="s">
        <v>300</v>
      </c>
      <c r="O13" s="963" t="s">
        <v>301</v>
      </c>
      <c r="P13" s="963" t="s">
        <v>205</v>
      </c>
      <c r="Q13" s="956" t="s">
        <v>2</v>
      </c>
      <c r="R13" s="956"/>
      <c r="S13" s="956"/>
      <c r="T13" s="956"/>
      <c r="U13" s="956"/>
      <c r="V13" s="956" t="s">
        <v>10</v>
      </c>
      <c r="W13" s="956"/>
      <c r="X13" s="956"/>
      <c r="Y13" s="956" t="s">
        <v>9</v>
      </c>
      <c r="Z13" s="956" t="s">
        <v>8</v>
      </c>
    </row>
    <row r="14" spans="1:26" ht="76.5" customHeight="1" x14ac:dyDescent="0.25">
      <c r="A14" s="308"/>
      <c r="B14" s="963"/>
      <c r="C14" s="963"/>
      <c r="D14" s="963"/>
      <c r="E14" s="963"/>
      <c r="F14" s="485" t="s">
        <v>331</v>
      </c>
      <c r="G14" s="485" t="s">
        <v>343</v>
      </c>
      <c r="H14" s="485" t="s">
        <v>259</v>
      </c>
      <c r="I14" s="485" t="s">
        <v>280</v>
      </c>
      <c r="J14" s="485" t="s">
        <v>279</v>
      </c>
      <c r="K14" s="963"/>
      <c r="L14" s="963"/>
      <c r="M14" s="963"/>
      <c r="N14" s="963"/>
      <c r="O14" s="963"/>
      <c r="P14" s="963"/>
      <c r="Q14" s="485" t="s">
        <v>283</v>
      </c>
      <c r="R14" s="485" t="s">
        <v>346</v>
      </c>
      <c r="S14" s="485" t="s">
        <v>284</v>
      </c>
      <c r="T14" s="485" t="s">
        <v>285</v>
      </c>
      <c r="U14" s="485" t="s">
        <v>15</v>
      </c>
      <c r="V14" s="485" t="s">
        <v>6</v>
      </c>
      <c r="W14" s="485" t="s">
        <v>286</v>
      </c>
      <c r="X14" s="485" t="s">
        <v>7</v>
      </c>
      <c r="Y14" s="956"/>
      <c r="Z14" s="956"/>
    </row>
    <row r="15" spans="1:26" x14ac:dyDescent="0.25">
      <c r="A15" s="308"/>
      <c r="B15" s="447"/>
      <c r="C15" s="447"/>
      <c r="D15" s="447"/>
      <c r="E15" s="447"/>
      <c r="F15" s="447"/>
      <c r="G15" s="448"/>
      <c r="H15" s="447"/>
      <c r="I15" s="447"/>
      <c r="J15" s="447"/>
      <c r="K15" s="447"/>
      <c r="L15" s="447"/>
      <c r="M15" s="449"/>
      <c r="N15" s="449"/>
      <c r="O15" s="449"/>
      <c r="P15" s="447"/>
      <c r="Q15" s="447"/>
      <c r="R15" s="447"/>
      <c r="S15" s="447"/>
      <c r="T15" s="447"/>
      <c r="U15" s="447"/>
      <c r="V15" s="447"/>
      <c r="W15" s="447"/>
      <c r="X15" s="447"/>
      <c r="Y15" s="447"/>
      <c r="Z15" s="447"/>
    </row>
    <row r="16" spans="1:26" ht="96.75" customHeight="1" x14ac:dyDescent="0.25">
      <c r="A16" s="394"/>
      <c r="B16" s="450">
        <v>1</v>
      </c>
      <c r="C16" s="451">
        <v>2</v>
      </c>
      <c r="D16" s="458" t="s">
        <v>322</v>
      </c>
      <c r="E16" s="379">
        <f>569955</f>
        <v>569955</v>
      </c>
      <c r="F16" s="462" t="s">
        <v>332</v>
      </c>
      <c r="G16" s="379">
        <f>+E16</f>
        <v>569955</v>
      </c>
      <c r="H16" s="379">
        <v>0</v>
      </c>
      <c r="I16" s="379">
        <f t="shared" ref="I16:I21" si="0">+G16*0.12</f>
        <v>68394.599999999991</v>
      </c>
      <c r="J16" s="379">
        <v>0</v>
      </c>
      <c r="K16" s="379">
        <f t="shared" ref="K16:K21" si="1">+G16+I16</f>
        <v>638349.6</v>
      </c>
      <c r="L16" s="453" t="s">
        <v>289</v>
      </c>
      <c r="M16" s="446" t="s">
        <v>296</v>
      </c>
      <c r="N16" s="446" t="s">
        <v>298</v>
      </c>
      <c r="O16" s="446" t="s">
        <v>302</v>
      </c>
      <c r="P16" s="379" t="s">
        <v>233</v>
      </c>
      <c r="Q16" s="440">
        <f>+G16/K16</f>
        <v>0.8928571428571429</v>
      </c>
      <c r="R16" s="440">
        <v>0</v>
      </c>
      <c r="S16" s="440">
        <f>+I16/K16</f>
        <v>0.10714285714285714</v>
      </c>
      <c r="T16" s="440">
        <v>0</v>
      </c>
      <c r="U16" s="440">
        <f>+Q16+S16</f>
        <v>1</v>
      </c>
      <c r="V16" s="385">
        <v>43715</v>
      </c>
      <c r="W16" s="385">
        <v>43930</v>
      </c>
      <c r="X16" s="385">
        <v>44155</v>
      </c>
      <c r="Y16" s="385" t="s">
        <v>324</v>
      </c>
      <c r="Z16" s="386"/>
    </row>
    <row r="17" spans="1:26" ht="93" customHeight="1" x14ac:dyDescent="0.25">
      <c r="A17" s="394"/>
      <c r="B17" s="450">
        <v>2</v>
      </c>
      <c r="C17" s="457">
        <v>2</v>
      </c>
      <c r="D17" s="458" t="s">
        <v>323</v>
      </c>
      <c r="E17" s="379">
        <f>+E16*0.08</f>
        <v>45596.4</v>
      </c>
      <c r="F17" s="462" t="s">
        <v>332</v>
      </c>
      <c r="G17" s="379">
        <f>+G16*0.08</f>
        <v>45596.4</v>
      </c>
      <c r="H17" s="379">
        <v>0</v>
      </c>
      <c r="I17" s="379">
        <f t="shared" si="0"/>
        <v>5471.5680000000002</v>
      </c>
      <c r="J17" s="379">
        <v>0</v>
      </c>
      <c r="K17" s="379">
        <f t="shared" si="1"/>
        <v>51067.968000000001</v>
      </c>
      <c r="L17" s="453" t="s">
        <v>291</v>
      </c>
      <c r="M17" s="446" t="s">
        <v>295</v>
      </c>
      <c r="N17" s="446" t="s">
        <v>304</v>
      </c>
      <c r="O17" s="446" t="s">
        <v>306</v>
      </c>
      <c r="P17" s="453" t="s">
        <v>233</v>
      </c>
      <c r="Q17" s="440">
        <f t="shared" ref="Q17" si="2">+G17/K17</f>
        <v>0.8928571428571429</v>
      </c>
      <c r="R17" s="440">
        <v>0</v>
      </c>
      <c r="S17" s="440">
        <f t="shared" ref="S17" si="3">+I17/K17</f>
        <v>0.10714285714285715</v>
      </c>
      <c r="T17" s="440">
        <v>0</v>
      </c>
      <c r="U17" s="440">
        <f t="shared" ref="U17" si="4">+Q17+S17</f>
        <v>1</v>
      </c>
      <c r="V17" s="385">
        <v>43769</v>
      </c>
      <c r="W17" s="385">
        <v>43930</v>
      </c>
      <c r="X17" s="385">
        <v>44155</v>
      </c>
      <c r="Y17" s="385" t="s">
        <v>330</v>
      </c>
      <c r="Z17" s="386"/>
    </row>
    <row r="18" spans="1:26" ht="95.25" customHeight="1" x14ac:dyDescent="0.25">
      <c r="A18" s="308"/>
      <c r="B18" s="450">
        <v>3</v>
      </c>
      <c r="C18" s="451" t="s">
        <v>325</v>
      </c>
      <c r="D18" s="458" t="s">
        <v>313</v>
      </c>
      <c r="E18" s="453">
        <v>496300</v>
      </c>
      <c r="F18" s="462" t="s">
        <v>332</v>
      </c>
      <c r="G18" s="379">
        <f>+E18</f>
        <v>496300</v>
      </c>
      <c r="H18" s="379">
        <v>0</v>
      </c>
      <c r="I18" s="379">
        <f t="shared" si="0"/>
        <v>59556</v>
      </c>
      <c r="J18" s="379">
        <v>0</v>
      </c>
      <c r="K18" s="379">
        <f t="shared" si="1"/>
        <v>555856</v>
      </c>
      <c r="L18" s="453" t="s">
        <v>291</v>
      </c>
      <c r="M18" s="446" t="s">
        <v>296</v>
      </c>
      <c r="N18" s="446" t="s">
        <v>298</v>
      </c>
      <c r="O18" s="446" t="s">
        <v>302</v>
      </c>
      <c r="P18" s="379" t="s">
        <v>233</v>
      </c>
      <c r="Q18" s="440">
        <f>+G18/K18</f>
        <v>0.8928571428571429</v>
      </c>
      <c r="R18" s="440">
        <v>0</v>
      </c>
      <c r="S18" s="440">
        <f>+I18/K18</f>
        <v>0.10714285714285714</v>
      </c>
      <c r="T18" s="440">
        <v>0</v>
      </c>
      <c r="U18" s="440">
        <f>+Q18+S18</f>
        <v>1</v>
      </c>
      <c r="V18" s="385">
        <v>43694</v>
      </c>
      <c r="W18" s="385">
        <v>43909</v>
      </c>
      <c r="X18" s="385">
        <v>44209</v>
      </c>
      <c r="Y18" s="385" t="s">
        <v>324</v>
      </c>
      <c r="Z18" s="385"/>
    </row>
    <row r="19" spans="1:26" ht="81" customHeight="1" x14ac:dyDescent="0.25">
      <c r="A19" s="308"/>
      <c r="B19" s="450">
        <v>4</v>
      </c>
      <c r="C19" s="460" t="s">
        <v>325</v>
      </c>
      <c r="D19" s="458" t="s">
        <v>315</v>
      </c>
      <c r="E19" s="453">
        <f>+E18*0.08</f>
        <v>39704</v>
      </c>
      <c r="F19" s="462" t="s">
        <v>332</v>
      </c>
      <c r="G19" s="379">
        <f>+E19</f>
        <v>39704</v>
      </c>
      <c r="H19" s="379">
        <v>0</v>
      </c>
      <c r="I19" s="379">
        <f t="shared" si="0"/>
        <v>4764.4799999999996</v>
      </c>
      <c r="J19" s="379">
        <v>0</v>
      </c>
      <c r="K19" s="379">
        <f t="shared" si="1"/>
        <v>44468.479999999996</v>
      </c>
      <c r="L19" s="453" t="s">
        <v>291</v>
      </c>
      <c r="M19" s="446" t="s">
        <v>295</v>
      </c>
      <c r="N19" s="446" t="s">
        <v>304</v>
      </c>
      <c r="O19" s="446" t="s">
        <v>306</v>
      </c>
      <c r="P19" s="453" t="s">
        <v>233</v>
      </c>
      <c r="Q19" s="440">
        <f t="shared" ref="Q19:Q31" si="5">+G19/K19</f>
        <v>0.8928571428571429</v>
      </c>
      <c r="R19" s="440">
        <v>0</v>
      </c>
      <c r="S19" s="440">
        <f t="shared" ref="S19" si="6">+I19/K19</f>
        <v>0.10714285714285714</v>
      </c>
      <c r="T19" s="440">
        <v>0</v>
      </c>
      <c r="U19" s="440">
        <f t="shared" ref="U19" si="7">+Q19+S19</f>
        <v>1</v>
      </c>
      <c r="V19" s="385">
        <v>43762</v>
      </c>
      <c r="W19" s="385">
        <v>43909</v>
      </c>
      <c r="X19" s="385">
        <v>44209</v>
      </c>
      <c r="Y19" s="385" t="s">
        <v>330</v>
      </c>
      <c r="Z19" s="385"/>
    </row>
    <row r="20" spans="1:26" ht="90.75" customHeight="1" x14ac:dyDescent="0.25">
      <c r="A20" s="308"/>
      <c r="B20" s="450">
        <v>5</v>
      </c>
      <c r="C20" s="460" t="s">
        <v>325</v>
      </c>
      <c r="D20" s="458" t="s">
        <v>345</v>
      </c>
      <c r="E20" s="453">
        <v>134680</v>
      </c>
      <c r="F20" s="462" t="s">
        <v>332</v>
      </c>
      <c r="G20" s="379">
        <f>+E20</f>
        <v>134680</v>
      </c>
      <c r="H20" s="379">
        <v>0</v>
      </c>
      <c r="I20" s="379">
        <f t="shared" si="0"/>
        <v>16161.599999999999</v>
      </c>
      <c r="J20" s="379">
        <v>0</v>
      </c>
      <c r="K20" s="379">
        <f t="shared" si="1"/>
        <v>150841.60000000001</v>
      </c>
      <c r="L20" s="453" t="s">
        <v>291</v>
      </c>
      <c r="M20" s="446" t="s">
        <v>295</v>
      </c>
      <c r="N20" s="446" t="s">
        <v>310</v>
      </c>
      <c r="O20" s="446" t="s">
        <v>306</v>
      </c>
      <c r="P20" s="453" t="s">
        <v>233</v>
      </c>
      <c r="Q20" s="440">
        <f t="shared" ref="Q20" si="8">+G20/K20</f>
        <v>0.89285714285714279</v>
      </c>
      <c r="R20" s="440">
        <v>0</v>
      </c>
      <c r="S20" s="440">
        <f t="shared" ref="S20" si="9">+I20/K20</f>
        <v>0.10714285714285712</v>
      </c>
      <c r="T20" s="440">
        <v>0</v>
      </c>
      <c r="U20" s="440">
        <f t="shared" ref="U20" si="10">+Q20+S20</f>
        <v>0.99999999999999989</v>
      </c>
      <c r="V20" s="385">
        <v>43839</v>
      </c>
      <c r="W20" s="385">
        <v>43994</v>
      </c>
      <c r="X20" s="385">
        <v>44173</v>
      </c>
      <c r="Y20" s="385" t="s">
        <v>330</v>
      </c>
      <c r="Z20" s="385"/>
    </row>
    <row r="21" spans="1:26" ht="75.75" customHeight="1" x14ac:dyDescent="0.25">
      <c r="A21" s="375"/>
      <c r="B21" s="450">
        <v>6</v>
      </c>
      <c r="C21" s="460" t="s">
        <v>325</v>
      </c>
      <c r="D21" s="452" t="s">
        <v>344</v>
      </c>
      <c r="E21" s="379">
        <v>14000</v>
      </c>
      <c r="F21" s="466" t="s">
        <v>340</v>
      </c>
      <c r="G21" s="379">
        <f>+E21</f>
        <v>14000</v>
      </c>
      <c r="H21" s="379">
        <v>0</v>
      </c>
      <c r="I21" s="379">
        <f t="shared" si="0"/>
        <v>1680</v>
      </c>
      <c r="J21" s="379">
        <v>0</v>
      </c>
      <c r="K21" s="379">
        <f t="shared" si="1"/>
        <v>15680</v>
      </c>
      <c r="L21" s="446" t="s">
        <v>292</v>
      </c>
      <c r="M21" s="446" t="s">
        <v>273</v>
      </c>
      <c r="N21" s="446" t="s">
        <v>299</v>
      </c>
      <c r="O21" s="446" t="s">
        <v>303</v>
      </c>
      <c r="P21" s="379" t="s">
        <v>241</v>
      </c>
      <c r="Q21" s="440">
        <f>+G21/K21</f>
        <v>0.8928571428571429</v>
      </c>
      <c r="R21" s="440">
        <v>0</v>
      </c>
      <c r="S21" s="440">
        <f>+I21/K21</f>
        <v>0.10714285714285714</v>
      </c>
      <c r="T21" s="440">
        <v>0</v>
      </c>
      <c r="U21" s="440">
        <f>+Q21+S21</f>
        <v>1</v>
      </c>
      <c r="V21" s="385" t="s">
        <v>273</v>
      </c>
      <c r="W21" s="385">
        <v>43796</v>
      </c>
      <c r="X21" s="385">
        <v>44158</v>
      </c>
      <c r="Y21" s="385" t="s">
        <v>330</v>
      </c>
      <c r="Z21" s="386"/>
    </row>
    <row r="22" spans="1:26" ht="65.25" customHeight="1" x14ac:dyDescent="0.25">
      <c r="A22" s="325"/>
      <c r="B22" s="450">
        <v>7</v>
      </c>
      <c r="C22" s="451" t="s">
        <v>326</v>
      </c>
      <c r="D22" s="452" t="s">
        <v>309</v>
      </c>
      <c r="E22" s="453">
        <f>1800*20</f>
        <v>36000</v>
      </c>
      <c r="F22" s="462" t="s">
        <v>332</v>
      </c>
      <c r="G22" s="379">
        <f t="shared" ref="G22:G29" si="11">+E22</f>
        <v>36000</v>
      </c>
      <c r="H22" s="379">
        <v>0</v>
      </c>
      <c r="I22" s="379">
        <f t="shared" ref="I22:I31" si="12">+G22*0.12</f>
        <v>4320</v>
      </c>
      <c r="J22" s="379">
        <v>0</v>
      </c>
      <c r="K22" s="379">
        <f t="shared" ref="K22:K31" si="13">+G22+I22</f>
        <v>40320</v>
      </c>
      <c r="L22" s="446" t="s">
        <v>237</v>
      </c>
      <c r="M22" s="446" t="s">
        <v>295</v>
      </c>
      <c r="N22" s="446" t="s">
        <v>304</v>
      </c>
      <c r="O22" s="446" t="s">
        <v>306</v>
      </c>
      <c r="P22" s="453" t="s">
        <v>233</v>
      </c>
      <c r="Q22" s="440">
        <f t="shared" si="5"/>
        <v>0.8928571428571429</v>
      </c>
      <c r="R22" s="440">
        <v>0</v>
      </c>
      <c r="S22" s="440">
        <f t="shared" ref="S22:S31" si="14">+I22/K22</f>
        <v>0.10714285714285714</v>
      </c>
      <c r="T22" s="440">
        <v>0</v>
      </c>
      <c r="U22" s="440">
        <f t="shared" ref="U22:U31" si="15">+Q22+S22</f>
        <v>1</v>
      </c>
      <c r="V22" s="385">
        <v>43690</v>
      </c>
      <c r="W22" s="385">
        <v>43796</v>
      </c>
      <c r="X22" s="385">
        <v>44403</v>
      </c>
      <c r="Y22" s="385" t="s">
        <v>324</v>
      </c>
      <c r="Z22" s="386"/>
    </row>
    <row r="23" spans="1:26" ht="65.25" customHeight="1" x14ac:dyDescent="0.25">
      <c r="A23" s="325"/>
      <c r="B23" s="450">
        <v>8</v>
      </c>
      <c r="C23" s="451" t="s">
        <v>326</v>
      </c>
      <c r="D23" s="452" t="s">
        <v>288</v>
      </c>
      <c r="E23" s="453">
        <f>1400*8</f>
        <v>11200</v>
      </c>
      <c r="F23" s="464" t="s">
        <v>333</v>
      </c>
      <c r="G23" s="379">
        <f t="shared" si="11"/>
        <v>11200</v>
      </c>
      <c r="H23" s="379">
        <v>0</v>
      </c>
      <c r="I23" s="379">
        <f t="shared" si="12"/>
        <v>1344</v>
      </c>
      <c r="J23" s="379">
        <v>0</v>
      </c>
      <c r="K23" s="379">
        <f t="shared" si="13"/>
        <v>12544</v>
      </c>
      <c r="L23" s="446" t="s">
        <v>271</v>
      </c>
      <c r="M23" s="446" t="s">
        <v>273</v>
      </c>
      <c r="N23" s="446" t="s">
        <v>299</v>
      </c>
      <c r="O23" s="446" t="s">
        <v>303</v>
      </c>
      <c r="P23" s="379" t="s">
        <v>241</v>
      </c>
      <c r="Q23" s="440">
        <f t="shared" si="5"/>
        <v>0.8928571428571429</v>
      </c>
      <c r="R23" s="440">
        <v>0</v>
      </c>
      <c r="S23" s="440">
        <f t="shared" si="14"/>
        <v>0.10714285714285714</v>
      </c>
      <c r="T23" s="440">
        <v>0</v>
      </c>
      <c r="U23" s="440">
        <f t="shared" si="15"/>
        <v>1</v>
      </c>
      <c r="V23" s="385" t="s">
        <v>273</v>
      </c>
      <c r="W23" s="385">
        <v>43731</v>
      </c>
      <c r="X23" s="385">
        <v>43753</v>
      </c>
      <c r="Y23" s="385" t="s">
        <v>330</v>
      </c>
      <c r="Z23" s="386"/>
    </row>
    <row r="24" spans="1:26" ht="65.25" customHeight="1" x14ac:dyDescent="0.25">
      <c r="A24" s="325"/>
      <c r="B24" s="450">
        <v>9</v>
      </c>
      <c r="C24" s="460" t="s">
        <v>326</v>
      </c>
      <c r="D24" s="452" t="s">
        <v>287</v>
      </c>
      <c r="E24" s="453">
        <v>11000</v>
      </c>
      <c r="F24" s="464" t="s">
        <v>333</v>
      </c>
      <c r="G24" s="379">
        <f>+E24</f>
        <v>11000</v>
      </c>
      <c r="H24" s="379">
        <v>0</v>
      </c>
      <c r="I24" s="379">
        <f t="shared" si="12"/>
        <v>1320</v>
      </c>
      <c r="J24" s="379">
        <v>0</v>
      </c>
      <c r="K24" s="379">
        <f t="shared" si="13"/>
        <v>12320</v>
      </c>
      <c r="L24" s="446" t="s">
        <v>271</v>
      </c>
      <c r="M24" s="446" t="s">
        <v>273</v>
      </c>
      <c r="N24" s="446" t="s">
        <v>299</v>
      </c>
      <c r="O24" s="446" t="s">
        <v>303</v>
      </c>
      <c r="P24" s="379" t="s">
        <v>241</v>
      </c>
      <c r="Q24" s="440">
        <f t="shared" si="5"/>
        <v>0.8928571428571429</v>
      </c>
      <c r="R24" s="440">
        <v>0</v>
      </c>
      <c r="S24" s="440">
        <f t="shared" si="14"/>
        <v>0.10714285714285714</v>
      </c>
      <c r="T24" s="440">
        <v>0</v>
      </c>
      <c r="U24" s="440">
        <f t="shared" si="15"/>
        <v>1</v>
      </c>
      <c r="V24" s="385" t="s">
        <v>273</v>
      </c>
      <c r="W24" s="385">
        <v>43731</v>
      </c>
      <c r="X24" s="385">
        <v>43753</v>
      </c>
      <c r="Y24" s="385" t="s">
        <v>330</v>
      </c>
      <c r="Z24" s="386"/>
    </row>
    <row r="25" spans="1:26" ht="65.25" customHeight="1" x14ac:dyDescent="0.25">
      <c r="A25" s="325"/>
      <c r="B25" s="450">
        <v>10</v>
      </c>
      <c r="C25" s="460" t="s">
        <v>326</v>
      </c>
      <c r="D25" s="452" t="s">
        <v>316</v>
      </c>
      <c r="E25" s="453">
        <v>6000</v>
      </c>
      <c r="F25" s="465" t="s">
        <v>334</v>
      </c>
      <c r="G25" s="379">
        <f>+E25</f>
        <v>6000</v>
      </c>
      <c r="H25" s="379">
        <v>0</v>
      </c>
      <c r="I25" s="379">
        <f t="shared" ref="I25" si="16">+G25*0.12</f>
        <v>720</v>
      </c>
      <c r="J25" s="379">
        <v>0</v>
      </c>
      <c r="K25" s="379">
        <f t="shared" ref="K25" si="17">+G25+I25</f>
        <v>6720</v>
      </c>
      <c r="L25" s="446" t="s">
        <v>271</v>
      </c>
      <c r="M25" s="446" t="s">
        <v>273</v>
      </c>
      <c r="N25" s="446" t="s">
        <v>299</v>
      </c>
      <c r="O25" s="446" t="s">
        <v>303</v>
      </c>
      <c r="P25" s="379" t="s">
        <v>241</v>
      </c>
      <c r="Q25" s="440">
        <f t="shared" ref="Q25" si="18">+G25/K25</f>
        <v>0.8928571428571429</v>
      </c>
      <c r="R25" s="440">
        <v>0</v>
      </c>
      <c r="S25" s="440">
        <f t="shared" ref="S25" si="19">+I25/K25</f>
        <v>0.10714285714285714</v>
      </c>
      <c r="T25" s="440">
        <v>0</v>
      </c>
      <c r="U25" s="440">
        <f t="shared" ref="U25" si="20">+Q25+S25</f>
        <v>1</v>
      </c>
      <c r="V25" s="385" t="s">
        <v>273</v>
      </c>
      <c r="W25" s="385">
        <v>43731</v>
      </c>
      <c r="X25" s="385">
        <v>43753</v>
      </c>
      <c r="Y25" s="385" t="s">
        <v>330</v>
      </c>
      <c r="Z25" s="386"/>
    </row>
    <row r="26" spans="1:26" ht="65.25" customHeight="1" x14ac:dyDescent="0.25">
      <c r="A26" s="325"/>
      <c r="B26" s="450">
        <v>11</v>
      </c>
      <c r="C26" s="460" t="s">
        <v>326</v>
      </c>
      <c r="D26" s="386" t="s">
        <v>317</v>
      </c>
      <c r="E26" s="453">
        <v>45000</v>
      </c>
      <c r="F26" s="465" t="s">
        <v>335</v>
      </c>
      <c r="G26" s="379">
        <f t="shared" si="11"/>
        <v>45000</v>
      </c>
      <c r="H26" s="379">
        <v>0</v>
      </c>
      <c r="I26" s="379">
        <f t="shared" si="12"/>
        <v>5400</v>
      </c>
      <c r="J26" s="379">
        <v>0</v>
      </c>
      <c r="K26" s="379">
        <f t="shared" si="13"/>
        <v>50400</v>
      </c>
      <c r="L26" s="446" t="s">
        <v>271</v>
      </c>
      <c r="M26" s="446" t="s">
        <v>273</v>
      </c>
      <c r="N26" s="446" t="s">
        <v>299</v>
      </c>
      <c r="O26" s="446" t="s">
        <v>303</v>
      </c>
      <c r="P26" s="379" t="s">
        <v>241</v>
      </c>
      <c r="Q26" s="440">
        <f t="shared" si="5"/>
        <v>0.8928571428571429</v>
      </c>
      <c r="R26" s="440">
        <v>0</v>
      </c>
      <c r="S26" s="440">
        <f t="shared" si="14"/>
        <v>0.10714285714285714</v>
      </c>
      <c r="T26" s="440">
        <v>0</v>
      </c>
      <c r="U26" s="440">
        <f t="shared" si="15"/>
        <v>1</v>
      </c>
      <c r="V26" s="385">
        <v>43726</v>
      </c>
      <c r="W26" s="385">
        <v>43899</v>
      </c>
      <c r="X26" s="385">
        <v>43928</v>
      </c>
      <c r="Y26" s="385" t="s">
        <v>330</v>
      </c>
      <c r="Z26" s="386"/>
    </row>
    <row r="27" spans="1:26" ht="79.5" customHeight="1" x14ac:dyDescent="0.25">
      <c r="A27" s="325"/>
      <c r="B27" s="450">
        <v>12</v>
      </c>
      <c r="C27" s="460" t="s">
        <v>326</v>
      </c>
      <c r="D27" s="452" t="s">
        <v>318</v>
      </c>
      <c r="E27" s="453">
        <v>5490</v>
      </c>
      <c r="F27" s="465" t="s">
        <v>336</v>
      </c>
      <c r="G27" s="379">
        <f t="shared" si="11"/>
        <v>5490</v>
      </c>
      <c r="H27" s="379">
        <v>0</v>
      </c>
      <c r="I27" s="379">
        <f t="shared" si="12"/>
        <v>658.8</v>
      </c>
      <c r="J27" s="379">
        <v>0</v>
      </c>
      <c r="K27" s="379">
        <f t="shared" si="13"/>
        <v>6148.8</v>
      </c>
      <c r="L27" s="446" t="s">
        <v>271</v>
      </c>
      <c r="M27" s="446" t="s">
        <v>273</v>
      </c>
      <c r="N27" s="446" t="s">
        <v>299</v>
      </c>
      <c r="O27" s="446" t="s">
        <v>303</v>
      </c>
      <c r="P27" s="379" t="s">
        <v>241</v>
      </c>
      <c r="Q27" s="440">
        <f t="shared" si="5"/>
        <v>0.89285714285714279</v>
      </c>
      <c r="R27" s="440">
        <v>0</v>
      </c>
      <c r="S27" s="440">
        <f t="shared" si="14"/>
        <v>0.10714285714285714</v>
      </c>
      <c r="T27" s="440">
        <v>0</v>
      </c>
      <c r="U27" s="440">
        <f t="shared" si="15"/>
        <v>0.99999999999999989</v>
      </c>
      <c r="V27" s="385" t="s">
        <v>273</v>
      </c>
      <c r="W27" s="385">
        <v>43717</v>
      </c>
      <c r="X27" s="385">
        <v>43735</v>
      </c>
      <c r="Y27" s="386" t="s">
        <v>330</v>
      </c>
      <c r="Z27" s="386"/>
    </row>
    <row r="28" spans="1:26" ht="75" customHeight="1" x14ac:dyDescent="0.25">
      <c r="A28" s="325"/>
      <c r="B28" s="450">
        <v>13</v>
      </c>
      <c r="C28" s="460" t="s">
        <v>326</v>
      </c>
      <c r="D28" s="452" t="s">
        <v>327</v>
      </c>
      <c r="E28" s="453">
        <f>1500*23</f>
        <v>34500</v>
      </c>
      <c r="F28" s="453" t="s">
        <v>341</v>
      </c>
      <c r="G28" s="379">
        <f t="shared" si="11"/>
        <v>34500</v>
      </c>
      <c r="H28" s="379">
        <v>0</v>
      </c>
      <c r="I28" s="379">
        <f t="shared" si="12"/>
        <v>4140</v>
      </c>
      <c r="J28" s="379">
        <v>0</v>
      </c>
      <c r="K28" s="379">
        <f t="shared" si="13"/>
        <v>38640</v>
      </c>
      <c r="L28" s="446" t="s">
        <v>305</v>
      </c>
      <c r="M28" s="446" t="s">
        <v>295</v>
      </c>
      <c r="N28" s="446" t="s">
        <v>307</v>
      </c>
      <c r="O28" s="446" t="s">
        <v>303</v>
      </c>
      <c r="P28" s="379" t="s">
        <v>241</v>
      </c>
      <c r="Q28" s="440">
        <f t="shared" si="5"/>
        <v>0.8928571428571429</v>
      </c>
      <c r="R28" s="440">
        <v>0</v>
      </c>
      <c r="S28" s="440">
        <f t="shared" si="14"/>
        <v>0.10714285714285714</v>
      </c>
      <c r="T28" s="440">
        <v>0</v>
      </c>
      <c r="U28" s="440">
        <f t="shared" si="15"/>
        <v>1</v>
      </c>
      <c r="V28" s="385" t="s">
        <v>273</v>
      </c>
      <c r="W28" s="385">
        <v>43709</v>
      </c>
      <c r="X28" s="385">
        <v>44378</v>
      </c>
      <c r="Y28" s="386" t="s">
        <v>330</v>
      </c>
      <c r="Z28" s="386"/>
    </row>
    <row r="29" spans="1:26" ht="72.75" customHeight="1" x14ac:dyDescent="0.25">
      <c r="A29" s="325"/>
      <c r="B29" s="450">
        <v>14</v>
      </c>
      <c r="C29" s="460" t="s">
        <v>326</v>
      </c>
      <c r="D29" s="452" t="s">
        <v>319</v>
      </c>
      <c r="E29" s="453">
        <v>15500</v>
      </c>
      <c r="F29" s="465" t="s">
        <v>339</v>
      </c>
      <c r="G29" s="379">
        <f t="shared" si="11"/>
        <v>15500</v>
      </c>
      <c r="H29" s="379">
        <v>0</v>
      </c>
      <c r="I29" s="379">
        <f t="shared" si="12"/>
        <v>1860</v>
      </c>
      <c r="J29" s="379">
        <v>0</v>
      </c>
      <c r="K29" s="379">
        <f t="shared" si="13"/>
        <v>17360</v>
      </c>
      <c r="L29" s="446" t="s">
        <v>305</v>
      </c>
      <c r="M29" s="446" t="s">
        <v>314</v>
      </c>
      <c r="N29" s="446" t="s">
        <v>299</v>
      </c>
      <c r="O29" s="446" t="s">
        <v>303</v>
      </c>
      <c r="P29" s="379" t="s">
        <v>241</v>
      </c>
      <c r="Q29" s="440">
        <f t="shared" si="5"/>
        <v>0.8928571428571429</v>
      </c>
      <c r="R29" s="440">
        <v>0</v>
      </c>
      <c r="S29" s="440">
        <f t="shared" si="14"/>
        <v>0.10714285714285714</v>
      </c>
      <c r="T29" s="440">
        <v>0</v>
      </c>
      <c r="U29" s="440">
        <f t="shared" si="15"/>
        <v>1</v>
      </c>
      <c r="V29" s="385" t="s">
        <v>273</v>
      </c>
      <c r="W29" s="385">
        <v>43693</v>
      </c>
      <c r="X29" s="385">
        <v>43948</v>
      </c>
      <c r="Y29" s="386" t="s">
        <v>330</v>
      </c>
      <c r="Z29" s="386"/>
    </row>
    <row r="30" spans="1:26" ht="105" customHeight="1" x14ac:dyDescent="0.25">
      <c r="A30" s="325"/>
      <c r="B30" s="450">
        <v>15</v>
      </c>
      <c r="C30" s="460" t="s">
        <v>326</v>
      </c>
      <c r="D30" s="459" t="s">
        <v>320</v>
      </c>
      <c r="E30" s="453">
        <v>6000</v>
      </c>
      <c r="F30" s="464" t="s">
        <v>337</v>
      </c>
      <c r="G30" s="379">
        <f>+E30</f>
        <v>6000</v>
      </c>
      <c r="H30" s="379">
        <v>0</v>
      </c>
      <c r="I30" s="379">
        <f t="shared" si="12"/>
        <v>720</v>
      </c>
      <c r="J30" s="379">
        <v>0</v>
      </c>
      <c r="K30" s="379">
        <f t="shared" si="13"/>
        <v>6720</v>
      </c>
      <c r="L30" s="446" t="s">
        <v>292</v>
      </c>
      <c r="M30" s="446" t="s">
        <v>273</v>
      </c>
      <c r="N30" s="446" t="s">
        <v>299</v>
      </c>
      <c r="O30" s="446" t="s">
        <v>303</v>
      </c>
      <c r="P30" s="379" t="s">
        <v>241</v>
      </c>
      <c r="Q30" s="440">
        <f t="shared" si="5"/>
        <v>0.8928571428571429</v>
      </c>
      <c r="R30" s="440">
        <v>0</v>
      </c>
      <c r="S30" s="440">
        <f t="shared" si="14"/>
        <v>0.10714285714285714</v>
      </c>
      <c r="T30" s="440">
        <v>0</v>
      </c>
      <c r="U30" s="440">
        <f t="shared" si="15"/>
        <v>1</v>
      </c>
      <c r="V30" s="385" t="s">
        <v>273</v>
      </c>
      <c r="W30" s="385">
        <v>43693</v>
      </c>
      <c r="X30" s="385">
        <v>43694</v>
      </c>
      <c r="Y30" s="386" t="s">
        <v>324</v>
      </c>
      <c r="Z30" s="386"/>
    </row>
    <row r="31" spans="1:26" ht="116.25" customHeight="1" x14ac:dyDescent="0.25">
      <c r="A31" s="325"/>
      <c r="B31" s="450">
        <v>16</v>
      </c>
      <c r="C31" s="460" t="s">
        <v>326</v>
      </c>
      <c r="D31" s="459" t="s">
        <v>321</v>
      </c>
      <c r="E31" s="453">
        <v>6000</v>
      </c>
      <c r="F31" s="464" t="s">
        <v>337</v>
      </c>
      <c r="G31" s="379">
        <f>+E31</f>
        <v>6000</v>
      </c>
      <c r="H31" s="379">
        <v>0</v>
      </c>
      <c r="I31" s="379">
        <f t="shared" si="12"/>
        <v>720</v>
      </c>
      <c r="J31" s="379">
        <v>0</v>
      </c>
      <c r="K31" s="379">
        <f t="shared" si="13"/>
        <v>6720</v>
      </c>
      <c r="L31" s="446" t="s">
        <v>292</v>
      </c>
      <c r="M31" s="446" t="s">
        <v>273</v>
      </c>
      <c r="N31" s="446" t="s">
        <v>299</v>
      </c>
      <c r="O31" s="446" t="s">
        <v>303</v>
      </c>
      <c r="P31" s="379" t="s">
        <v>241</v>
      </c>
      <c r="Q31" s="440">
        <f t="shared" si="5"/>
        <v>0.8928571428571429</v>
      </c>
      <c r="R31" s="440">
        <v>0</v>
      </c>
      <c r="S31" s="440">
        <f t="shared" si="14"/>
        <v>0.10714285714285714</v>
      </c>
      <c r="T31" s="440">
        <v>0</v>
      </c>
      <c r="U31" s="440">
        <f t="shared" si="15"/>
        <v>1</v>
      </c>
      <c r="V31" s="385" t="s">
        <v>273</v>
      </c>
      <c r="W31" s="385">
        <v>43714</v>
      </c>
      <c r="X31" s="385">
        <v>43715</v>
      </c>
      <c r="Y31" s="386" t="s">
        <v>324</v>
      </c>
      <c r="Z31" s="386"/>
    </row>
    <row r="32" spans="1:26" ht="79.5" customHeight="1" x14ac:dyDescent="0.25">
      <c r="A32" s="325"/>
      <c r="B32" s="450">
        <v>17</v>
      </c>
      <c r="C32" s="451" t="s">
        <v>328</v>
      </c>
      <c r="D32" s="452" t="s">
        <v>308</v>
      </c>
      <c r="E32" s="379">
        <v>110000</v>
      </c>
      <c r="F32" s="463" t="s">
        <v>332</v>
      </c>
      <c r="G32" s="379">
        <f>+E32</f>
        <v>110000</v>
      </c>
      <c r="H32" s="379">
        <v>0</v>
      </c>
      <c r="I32" s="379">
        <f>+G32*0.12</f>
        <v>13200</v>
      </c>
      <c r="J32" s="379">
        <v>0</v>
      </c>
      <c r="K32" s="379">
        <f>+G32+I32</f>
        <v>123200</v>
      </c>
      <c r="L32" s="446" t="s">
        <v>292</v>
      </c>
      <c r="M32" s="446" t="s">
        <v>295</v>
      </c>
      <c r="N32" s="446" t="s">
        <v>307</v>
      </c>
      <c r="O32" s="446" t="s">
        <v>303</v>
      </c>
      <c r="P32" s="379" t="s">
        <v>233</v>
      </c>
      <c r="Q32" s="440">
        <f>+G32/K32</f>
        <v>0.8928571428571429</v>
      </c>
      <c r="R32" s="440">
        <v>0</v>
      </c>
      <c r="S32" s="440">
        <f>+I32/K32</f>
        <v>0.10714285714285714</v>
      </c>
      <c r="T32" s="440">
        <v>0</v>
      </c>
      <c r="U32" s="440">
        <f>+Q32+S32</f>
        <v>1</v>
      </c>
      <c r="V32" s="385">
        <v>43742</v>
      </c>
      <c r="W32" s="385">
        <v>43906</v>
      </c>
      <c r="X32" s="385">
        <v>44428</v>
      </c>
      <c r="Y32" s="386" t="s">
        <v>330</v>
      </c>
      <c r="Z32" s="386"/>
    </row>
    <row r="33" spans="1:26" ht="75" customHeight="1" x14ac:dyDescent="0.25">
      <c r="A33" s="325"/>
      <c r="B33" s="450">
        <v>18</v>
      </c>
      <c r="C33" s="457" t="s">
        <v>329</v>
      </c>
      <c r="D33" s="452" t="s">
        <v>342</v>
      </c>
      <c r="E33" s="453">
        <v>10000</v>
      </c>
      <c r="F33" s="465" t="s">
        <v>338</v>
      </c>
      <c r="G33" s="379">
        <f>+E33</f>
        <v>10000</v>
      </c>
      <c r="H33" s="379">
        <v>0</v>
      </c>
      <c r="I33" s="379">
        <f t="shared" ref="I33" si="21">+G33*0.12</f>
        <v>1200</v>
      </c>
      <c r="J33" s="379">
        <v>0</v>
      </c>
      <c r="K33" s="379">
        <f t="shared" ref="K33" si="22">+G33+I33</f>
        <v>11200</v>
      </c>
      <c r="L33" s="446" t="s">
        <v>292</v>
      </c>
      <c r="M33" s="446" t="s">
        <v>273</v>
      </c>
      <c r="N33" s="446" t="s">
        <v>299</v>
      </c>
      <c r="O33" s="446" t="s">
        <v>303</v>
      </c>
      <c r="P33" s="379" t="s">
        <v>241</v>
      </c>
      <c r="Q33" s="440">
        <f t="shared" ref="Q33" si="23">+G33/K33</f>
        <v>0.8928571428571429</v>
      </c>
      <c r="R33" s="440">
        <v>0</v>
      </c>
      <c r="S33" s="440">
        <f t="shared" ref="S33" si="24">+I33/K33</f>
        <v>0.10714285714285714</v>
      </c>
      <c r="T33" s="440">
        <v>0</v>
      </c>
      <c r="U33" s="440">
        <f t="shared" ref="U33" si="25">+Q33+S33</f>
        <v>1</v>
      </c>
      <c r="V33" s="385" t="s">
        <v>273</v>
      </c>
      <c r="W33" s="385">
        <v>43800</v>
      </c>
      <c r="X33" s="385">
        <v>43889</v>
      </c>
      <c r="Y33" s="386" t="s">
        <v>330</v>
      </c>
      <c r="Z33" s="386"/>
    </row>
    <row r="34" spans="1:26" s="4" customFormat="1" x14ac:dyDescent="0.25">
      <c r="A34" s="325"/>
      <c r="B34" s="454"/>
      <c r="C34" s="454"/>
      <c r="D34" s="455" t="s">
        <v>14</v>
      </c>
      <c r="E34" s="366">
        <f t="shared" ref="E34:K34" si="26">SUM(E16:E33)</f>
        <v>1596925.4</v>
      </c>
      <c r="F34" s="366"/>
      <c r="G34" s="366">
        <f t="shared" si="26"/>
        <v>1596925.4</v>
      </c>
      <c r="H34" s="366">
        <f t="shared" si="26"/>
        <v>0</v>
      </c>
      <c r="I34" s="366">
        <f t="shared" si="26"/>
        <v>191631.04800000001</v>
      </c>
      <c r="J34" s="366">
        <f t="shared" si="26"/>
        <v>0</v>
      </c>
      <c r="K34" s="366">
        <f t="shared" si="26"/>
        <v>1788556.4480000001</v>
      </c>
      <c r="L34" s="366"/>
      <c r="M34" s="366"/>
      <c r="N34" s="366"/>
      <c r="O34" s="366"/>
      <c r="P34" s="366"/>
      <c r="Q34" s="368"/>
      <c r="R34" s="368"/>
      <c r="S34" s="368"/>
      <c r="T34" s="368"/>
      <c r="U34" s="368"/>
      <c r="V34" s="371"/>
      <c r="W34" s="371"/>
      <c r="X34" s="371"/>
      <c r="Y34" s="370"/>
      <c r="Z34" s="456"/>
    </row>
    <row r="35" spans="1:26" x14ac:dyDescent="0.25">
      <c r="B35" s="474"/>
      <c r="C35" s="474"/>
      <c r="D35" s="474"/>
      <c r="E35" s="474"/>
      <c r="F35" s="474"/>
      <c r="G35" s="474"/>
      <c r="H35" s="474"/>
      <c r="I35" s="474"/>
      <c r="J35" s="474"/>
      <c r="K35" s="474"/>
      <c r="L35" s="474"/>
      <c r="M35" s="475"/>
      <c r="N35" s="475"/>
      <c r="O35" s="475"/>
      <c r="P35" s="474"/>
      <c r="Q35" s="474"/>
      <c r="R35" s="474"/>
      <c r="S35" s="474"/>
      <c r="T35" s="474"/>
      <c r="U35" s="474"/>
      <c r="V35" s="474"/>
      <c r="W35" s="474"/>
      <c r="X35" s="474"/>
      <c r="Y35" s="474"/>
      <c r="Z35" s="476"/>
    </row>
    <row r="36" spans="1:26" x14ac:dyDescent="0.25">
      <c r="B36" s="477"/>
      <c r="C36" s="478"/>
      <c r="D36" s="479"/>
      <c r="E36" s="480"/>
      <c r="F36" s="480"/>
      <c r="G36" s="480"/>
      <c r="H36" s="480"/>
      <c r="I36" s="480"/>
      <c r="J36" s="480"/>
      <c r="K36" s="480"/>
      <c r="L36" s="480"/>
      <c r="M36" s="481"/>
      <c r="N36" s="481"/>
      <c r="O36" s="481"/>
      <c r="P36" s="480"/>
      <c r="Q36" s="482"/>
      <c r="R36" s="482"/>
      <c r="S36" s="482"/>
      <c r="T36" s="482"/>
      <c r="U36" s="482"/>
      <c r="V36" s="483"/>
      <c r="W36" s="483"/>
      <c r="X36" s="483"/>
      <c r="Y36" s="484"/>
      <c r="Z36" s="484"/>
    </row>
  </sheetData>
  <mergeCells count="17">
    <mergeCell ref="F13:J13"/>
    <mergeCell ref="Q13:U13"/>
    <mergeCell ref="B7:Z7"/>
    <mergeCell ref="B8:Z8"/>
    <mergeCell ref="B13:B14"/>
    <mergeCell ref="C13:C14"/>
    <mergeCell ref="D13:D14"/>
    <mergeCell ref="E13:E14"/>
    <mergeCell ref="N13:N14"/>
    <mergeCell ref="O13:O14"/>
    <mergeCell ref="V13:X13"/>
    <mergeCell ref="Y13:Y14"/>
    <mergeCell ref="K13:K14"/>
    <mergeCell ref="Z13:Z14"/>
    <mergeCell ref="L13:L14"/>
    <mergeCell ref="M13:M14"/>
    <mergeCell ref="P13:P14"/>
  </mergeCells>
  <pageMargins left="0.23622047244094491" right="0.23622047244094491" top="0.74803149606299213" bottom="0.74803149606299213" header="0.31496062992125984" footer="0.31496062992125984"/>
  <pageSetup paperSize="9" scale="43" fitToWidth="2" orientation="portrait"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dimension ref="A1:AA70"/>
  <sheetViews>
    <sheetView topLeftCell="A55" workbookViewId="0">
      <selection activeCell="A55" sqref="A55"/>
    </sheetView>
  </sheetViews>
  <sheetFormatPr baseColWidth="10" defaultColWidth="11.42578125" defaultRowHeight="12.75" outlineLevelRow="2" outlineLevelCol="1" x14ac:dyDescent="0.2"/>
  <cols>
    <col min="1" max="1" width="4.5703125" style="491" customWidth="1"/>
    <col min="2" max="2" width="5.85546875" style="491" hidden="1" customWidth="1"/>
    <col min="3" max="3" width="11.85546875" style="491" customWidth="1"/>
    <col min="4" max="4" width="61.5703125" style="491" customWidth="1"/>
    <col min="5" max="5" width="16.5703125" style="491" customWidth="1"/>
    <col min="6" max="6" width="18.5703125" style="491" customWidth="1"/>
    <col min="7" max="7" width="21.85546875" style="497" customWidth="1" outlineLevel="1"/>
    <col min="8" max="8" width="16.5703125" style="491" customWidth="1"/>
    <col min="9" max="9" width="13.7109375" style="491" customWidth="1"/>
    <col min="10" max="10" width="16.5703125" style="491" customWidth="1"/>
    <col min="11" max="11" width="10.5703125" style="491" customWidth="1"/>
    <col min="12" max="12" width="16.85546875" style="491" customWidth="1"/>
    <col min="13" max="13" width="13.5703125" style="491" customWidth="1"/>
    <col min="14" max="14" width="20.140625" style="498" customWidth="1"/>
    <col min="15" max="15" width="14.7109375" style="498" customWidth="1"/>
    <col min="16" max="16" width="19.140625" style="498" customWidth="1"/>
    <col min="17" max="17" width="13.7109375" style="499" customWidth="1"/>
    <col min="18" max="18" width="15" style="491" hidden="1" customWidth="1"/>
    <col min="19" max="19" width="16.140625" style="491" hidden="1" customWidth="1"/>
    <col min="20" max="22" width="12" style="491" hidden="1" customWidth="1"/>
    <col min="23" max="23" width="15.42578125" style="491" customWidth="1"/>
    <col min="24" max="24" width="14.5703125" style="491" customWidth="1"/>
    <col min="25" max="25" width="14.7109375" style="491" customWidth="1"/>
    <col min="26" max="26" width="13.28515625" style="491" customWidth="1"/>
    <col min="27" max="27" width="81.5703125" style="491" customWidth="1"/>
    <col min="28" max="16384" width="11.42578125" style="491"/>
  </cols>
  <sheetData>
    <row r="1" spans="1:27" x14ac:dyDescent="0.2">
      <c r="A1" s="486"/>
      <c r="B1" s="486"/>
      <c r="C1" s="486"/>
      <c r="D1" s="486"/>
      <c r="E1" s="486"/>
      <c r="F1" s="486"/>
      <c r="G1" s="487"/>
      <c r="H1" s="486"/>
      <c r="I1" s="486"/>
      <c r="J1" s="486"/>
      <c r="K1" s="486"/>
      <c r="L1" s="486"/>
      <c r="M1" s="488"/>
      <c r="N1" s="489"/>
      <c r="O1" s="489"/>
      <c r="P1" s="489"/>
      <c r="Q1" s="490"/>
      <c r="R1" s="486"/>
      <c r="S1" s="486"/>
      <c r="T1" s="486"/>
      <c r="U1" s="486"/>
      <c r="V1" s="486"/>
      <c r="W1" s="486"/>
      <c r="X1" s="486"/>
      <c r="Y1" s="486"/>
      <c r="Z1" s="486"/>
      <c r="AA1" s="486"/>
    </row>
    <row r="2" spans="1:27" x14ac:dyDescent="0.2">
      <c r="A2" s="486"/>
      <c r="B2" s="486"/>
      <c r="C2" s="486"/>
      <c r="D2" s="486"/>
      <c r="E2" s="486"/>
      <c r="F2" s="486"/>
      <c r="G2" s="487"/>
      <c r="H2" s="486"/>
      <c r="I2" s="492"/>
      <c r="J2" s="492"/>
      <c r="K2" s="486"/>
      <c r="L2" s="486"/>
      <c r="M2" s="488"/>
      <c r="N2" s="489"/>
      <c r="O2" s="489"/>
      <c r="P2" s="489"/>
      <c r="Q2" s="490"/>
      <c r="R2" s="486"/>
      <c r="S2" s="486"/>
      <c r="T2" s="486"/>
      <c r="U2" s="486"/>
      <c r="V2" s="486"/>
      <c r="W2" s="486"/>
      <c r="X2" s="486"/>
      <c r="Y2" s="486"/>
      <c r="Z2" s="486"/>
      <c r="AA2" s="486"/>
    </row>
    <row r="3" spans="1:27" x14ac:dyDescent="0.2">
      <c r="A3" s="486"/>
      <c r="B3" s="486"/>
      <c r="C3" s="486"/>
      <c r="D3" s="486"/>
      <c r="E3" s="486"/>
      <c r="F3" s="486"/>
      <c r="G3" s="487"/>
      <c r="H3" s="486"/>
      <c r="I3" s="492"/>
      <c r="J3" s="492"/>
      <c r="K3" s="486"/>
      <c r="L3" s="486"/>
      <c r="M3" s="488"/>
      <c r="N3" s="489"/>
      <c r="O3" s="489"/>
      <c r="P3" s="489"/>
      <c r="Q3" s="490"/>
      <c r="R3" s="486"/>
      <c r="S3" s="486"/>
      <c r="T3" s="486"/>
      <c r="U3" s="486"/>
      <c r="V3" s="486"/>
      <c r="W3" s="486"/>
      <c r="X3" s="486"/>
      <c r="Y3" s="486"/>
      <c r="Z3" s="486"/>
      <c r="AA3" s="486"/>
    </row>
    <row r="4" spans="1:27" x14ac:dyDescent="0.2">
      <c r="A4" s="486"/>
      <c r="B4" s="486"/>
      <c r="C4" s="486"/>
      <c r="D4" s="486"/>
      <c r="E4" s="486"/>
      <c r="F4" s="486"/>
      <c r="G4" s="487"/>
      <c r="H4" s="486"/>
      <c r="I4" s="492"/>
      <c r="J4" s="492"/>
      <c r="K4" s="486"/>
      <c r="L4" s="486"/>
      <c r="M4" s="488"/>
      <c r="N4" s="489"/>
      <c r="O4" s="489"/>
      <c r="P4" s="489"/>
      <c r="Q4" s="490"/>
      <c r="R4" s="486"/>
      <c r="S4" s="486"/>
      <c r="T4" s="486"/>
      <c r="U4" s="486"/>
      <c r="V4" s="486"/>
      <c r="W4" s="486"/>
      <c r="X4" s="486"/>
      <c r="Y4" s="486"/>
      <c r="Z4" s="486"/>
      <c r="AA4" s="486"/>
    </row>
    <row r="5" spans="1:27" x14ac:dyDescent="0.2">
      <c r="A5" s="486"/>
      <c r="B5" s="486"/>
      <c r="C5" s="486"/>
      <c r="D5" s="486"/>
      <c r="E5" s="486"/>
      <c r="F5" s="486"/>
      <c r="G5" s="487"/>
      <c r="H5" s="486"/>
      <c r="I5" s="492"/>
      <c r="J5" s="492"/>
      <c r="K5" s="486"/>
      <c r="L5" s="486"/>
      <c r="M5" s="488"/>
      <c r="N5" s="489"/>
      <c r="O5" s="489"/>
      <c r="P5" s="489"/>
      <c r="Q5" s="490"/>
      <c r="R5" s="486"/>
      <c r="S5" s="486"/>
      <c r="T5" s="486"/>
      <c r="U5" s="486"/>
      <c r="V5" s="486"/>
      <c r="W5" s="486"/>
      <c r="X5" s="486"/>
      <c r="Y5" s="486"/>
      <c r="Z5" s="486"/>
      <c r="AA5" s="486"/>
    </row>
    <row r="6" spans="1:27" ht="13.5" thickBot="1" x14ac:dyDescent="0.25">
      <c r="A6" s="486"/>
      <c r="B6" s="486"/>
      <c r="C6" s="486"/>
      <c r="D6" s="486"/>
      <c r="E6" s="486"/>
      <c r="F6" s="486"/>
      <c r="G6" s="487"/>
      <c r="H6" s="486"/>
      <c r="I6" s="486"/>
      <c r="J6" s="486"/>
      <c r="K6" s="486"/>
      <c r="L6" s="486"/>
      <c r="M6" s="488"/>
      <c r="N6" s="489"/>
      <c r="O6" s="489"/>
      <c r="P6" s="489"/>
      <c r="Q6" s="490"/>
      <c r="R6" s="486"/>
      <c r="S6" s="486"/>
      <c r="T6" s="486"/>
      <c r="U6" s="486"/>
      <c r="V6" s="486"/>
      <c r="W6" s="486"/>
      <c r="X6" s="486"/>
      <c r="Y6" s="486"/>
      <c r="Z6" s="486"/>
      <c r="AA6" s="486"/>
    </row>
    <row r="7" spans="1:27" ht="77.25" customHeight="1" thickBot="1" x14ac:dyDescent="0.25">
      <c r="A7" s="486"/>
      <c r="B7" s="967" t="s">
        <v>234</v>
      </c>
      <c r="C7" s="968"/>
      <c r="D7" s="968"/>
      <c r="E7" s="968"/>
      <c r="F7" s="968"/>
      <c r="G7" s="968"/>
      <c r="H7" s="968"/>
      <c r="I7" s="968"/>
      <c r="J7" s="968"/>
      <c r="K7" s="968"/>
      <c r="L7" s="968"/>
      <c r="M7" s="968"/>
      <c r="N7" s="968"/>
      <c r="O7" s="968"/>
      <c r="P7" s="968"/>
      <c r="Q7" s="968"/>
      <c r="R7" s="968"/>
      <c r="S7" s="968"/>
      <c r="T7" s="968"/>
      <c r="U7" s="968"/>
      <c r="V7" s="968"/>
      <c r="W7" s="968"/>
      <c r="X7" s="968"/>
      <c r="Y7" s="968"/>
      <c r="Z7" s="969"/>
      <c r="AA7" s="552"/>
    </row>
    <row r="8" spans="1:27" ht="38.25" customHeight="1" thickBot="1" x14ac:dyDescent="0.25">
      <c r="A8" s="486"/>
      <c r="B8" s="970" t="s">
        <v>235</v>
      </c>
      <c r="C8" s="971"/>
      <c r="D8" s="971"/>
      <c r="E8" s="971"/>
      <c r="F8" s="971"/>
      <c r="G8" s="971"/>
      <c r="H8" s="971"/>
      <c r="I8" s="971"/>
      <c r="J8" s="971"/>
      <c r="K8" s="971"/>
      <c r="L8" s="971"/>
      <c r="M8" s="971"/>
      <c r="N8" s="971"/>
      <c r="O8" s="971"/>
      <c r="P8" s="971"/>
      <c r="Q8" s="971"/>
      <c r="R8" s="971"/>
      <c r="S8" s="971"/>
      <c r="T8" s="971"/>
      <c r="U8" s="971"/>
      <c r="V8" s="971"/>
      <c r="W8" s="971"/>
      <c r="X8" s="971"/>
      <c r="Y8" s="971"/>
      <c r="Z8" s="972"/>
      <c r="AA8" s="553"/>
    </row>
    <row r="9" spans="1:27" ht="13.5" thickBot="1" x14ac:dyDescent="0.25">
      <c r="A9" s="486"/>
      <c r="B9" s="486"/>
      <c r="C9" s="486"/>
      <c r="D9" s="486"/>
      <c r="E9" s="486"/>
      <c r="F9" s="486"/>
      <c r="G9" s="487"/>
      <c r="H9" s="486"/>
      <c r="I9" s="486"/>
      <c r="J9" s="486"/>
      <c r="K9" s="486"/>
      <c r="L9" s="486"/>
      <c r="M9" s="488"/>
      <c r="N9" s="489"/>
      <c r="O9" s="489"/>
      <c r="P9" s="489"/>
      <c r="Q9" s="490"/>
      <c r="R9" s="486"/>
      <c r="S9" s="486"/>
      <c r="T9" s="486"/>
      <c r="U9" s="486"/>
      <c r="V9" s="486"/>
      <c r="W9" s="486"/>
      <c r="X9" s="486"/>
      <c r="Y9" s="486"/>
      <c r="Z9" s="486"/>
      <c r="AA9" s="486"/>
    </row>
    <row r="10" spans="1:27" ht="16.5" thickBot="1" x14ac:dyDescent="0.3">
      <c r="A10" s="486"/>
      <c r="B10" s="486"/>
      <c r="C10" s="486"/>
      <c r="D10" s="504" t="s">
        <v>0</v>
      </c>
      <c r="E10" s="502">
        <v>43122</v>
      </c>
      <c r="F10" s="520"/>
      <c r="G10" s="500"/>
      <c r="H10" s="501"/>
      <c r="I10" s="486"/>
      <c r="J10" s="973" t="s">
        <v>449</v>
      </c>
      <c r="K10" s="974"/>
      <c r="L10" s="975"/>
      <c r="M10" s="507">
        <v>0.12</v>
      </c>
      <c r="N10" s="493"/>
      <c r="O10" s="493"/>
      <c r="P10" s="505" t="s">
        <v>360</v>
      </c>
      <c r="Q10" s="505" t="s">
        <v>198</v>
      </c>
      <c r="R10" s="486"/>
      <c r="S10" s="486"/>
      <c r="T10" s="486"/>
      <c r="U10" s="486"/>
      <c r="V10" s="486"/>
      <c r="W10" s="506" t="s">
        <v>419</v>
      </c>
      <c r="X10" s="554"/>
      <c r="Y10" s="550"/>
      <c r="Z10" s="550"/>
      <c r="AA10" s="551"/>
    </row>
    <row r="11" spans="1:27" x14ac:dyDescent="0.2">
      <c r="A11" s="486"/>
      <c r="B11" s="486"/>
      <c r="C11" s="486"/>
      <c r="D11" s="504" t="s">
        <v>1</v>
      </c>
      <c r="E11" s="503">
        <v>44551</v>
      </c>
      <c r="F11" s="521"/>
      <c r="G11" s="496"/>
      <c r="H11" s="501"/>
      <c r="I11" s="486"/>
      <c r="J11" s="486"/>
      <c r="K11" s="486"/>
      <c r="L11" s="486"/>
      <c r="M11" s="488"/>
      <c r="N11" s="489"/>
      <c r="O11" s="489"/>
      <c r="P11" s="489"/>
      <c r="Q11" s="490"/>
      <c r="R11" s="486"/>
      <c r="S11" s="486"/>
      <c r="T11" s="486"/>
      <c r="U11" s="486"/>
      <c r="V11" s="486"/>
      <c r="W11" s="486"/>
      <c r="X11" s="486"/>
      <c r="Y11" s="486"/>
      <c r="Z11" s="486"/>
      <c r="AA11" s="486"/>
    </row>
    <row r="12" spans="1:27" x14ac:dyDescent="0.2">
      <c r="A12" s="486"/>
      <c r="B12" s="486"/>
      <c r="C12" s="486"/>
      <c r="D12" s="486"/>
      <c r="E12" s="486"/>
      <c r="F12" s="486"/>
      <c r="G12" s="487"/>
      <c r="H12" s="486"/>
      <c r="I12" s="486"/>
      <c r="J12" s="486"/>
      <c r="K12" s="486"/>
      <c r="L12" s="486"/>
      <c r="M12" s="488"/>
      <c r="N12" s="489"/>
      <c r="O12" s="489"/>
      <c r="P12" s="489"/>
      <c r="Q12" s="490"/>
      <c r="R12" s="486"/>
      <c r="S12" s="486"/>
      <c r="T12" s="486"/>
      <c r="U12" s="486"/>
      <c r="V12" s="486"/>
      <c r="W12" s="486"/>
      <c r="X12" s="486"/>
      <c r="Y12" s="486"/>
      <c r="Z12" s="486"/>
      <c r="AA12" s="486"/>
    </row>
    <row r="13" spans="1:27" ht="63" customHeight="1" x14ac:dyDescent="0.2">
      <c r="A13" s="486"/>
      <c r="B13" s="976" t="s">
        <v>17</v>
      </c>
      <c r="C13" s="976" t="s">
        <v>214</v>
      </c>
      <c r="D13" s="976" t="s">
        <v>434</v>
      </c>
      <c r="E13" s="976" t="s">
        <v>363</v>
      </c>
      <c r="F13" s="977" t="s">
        <v>420</v>
      </c>
      <c r="G13" s="979" t="s">
        <v>19</v>
      </c>
      <c r="H13" s="980"/>
      <c r="I13" s="980"/>
      <c r="J13" s="980"/>
      <c r="K13" s="981"/>
      <c r="L13" s="976" t="s">
        <v>448</v>
      </c>
      <c r="M13" s="976" t="s">
        <v>290</v>
      </c>
      <c r="N13" s="976" t="s">
        <v>297</v>
      </c>
      <c r="O13" s="976" t="s">
        <v>300</v>
      </c>
      <c r="P13" s="976" t="s">
        <v>301</v>
      </c>
      <c r="Q13" s="976" t="s">
        <v>205</v>
      </c>
      <c r="R13" s="982" t="s">
        <v>2</v>
      </c>
      <c r="S13" s="982"/>
      <c r="T13" s="982"/>
      <c r="U13" s="982"/>
      <c r="V13" s="982"/>
      <c r="W13" s="982" t="s">
        <v>10</v>
      </c>
      <c r="X13" s="982"/>
      <c r="Y13" s="982"/>
      <c r="Z13" s="982" t="s">
        <v>9</v>
      </c>
      <c r="AA13" s="982" t="s">
        <v>8</v>
      </c>
    </row>
    <row r="14" spans="1:27" ht="96" customHeight="1" x14ac:dyDescent="0.2">
      <c r="A14" s="486"/>
      <c r="B14" s="976"/>
      <c r="C14" s="976"/>
      <c r="D14" s="976"/>
      <c r="E14" s="976"/>
      <c r="F14" s="978"/>
      <c r="G14" s="654" t="s">
        <v>331</v>
      </c>
      <c r="H14" s="654" t="s">
        <v>445</v>
      </c>
      <c r="I14" s="654" t="s">
        <v>444</v>
      </c>
      <c r="J14" s="654" t="s">
        <v>446</v>
      </c>
      <c r="K14" s="654" t="s">
        <v>447</v>
      </c>
      <c r="L14" s="976"/>
      <c r="M14" s="976"/>
      <c r="N14" s="976"/>
      <c r="O14" s="976"/>
      <c r="P14" s="976"/>
      <c r="Q14" s="976"/>
      <c r="R14" s="654" t="s">
        <v>283</v>
      </c>
      <c r="S14" s="654" t="s">
        <v>346</v>
      </c>
      <c r="T14" s="654" t="s">
        <v>284</v>
      </c>
      <c r="U14" s="654" t="s">
        <v>285</v>
      </c>
      <c r="V14" s="654" t="s">
        <v>15</v>
      </c>
      <c r="W14" s="654" t="s">
        <v>396</v>
      </c>
      <c r="X14" s="654" t="s">
        <v>286</v>
      </c>
      <c r="Y14" s="654" t="s">
        <v>7</v>
      </c>
      <c r="Z14" s="982"/>
      <c r="AA14" s="982"/>
    </row>
    <row r="15" spans="1:27" s="578" customFormat="1" ht="22.5" hidden="1" customHeight="1" x14ac:dyDescent="0.25">
      <c r="A15" s="574"/>
      <c r="B15" s="575"/>
      <c r="C15" s="590">
        <v>2</v>
      </c>
      <c r="D15" s="591" t="s">
        <v>442</v>
      </c>
      <c r="E15" s="592">
        <f>+E16+E17</f>
        <v>1986900</v>
      </c>
      <c r="F15" s="593">
        <f>+F16+F17</f>
        <v>1790000</v>
      </c>
      <c r="G15" s="594"/>
      <c r="H15" s="592">
        <f>+H16+H17</f>
        <v>1986900</v>
      </c>
      <c r="I15" s="592">
        <f>+I16+I17</f>
        <v>0</v>
      </c>
      <c r="J15" s="592">
        <f>+J16+J17</f>
        <v>238428</v>
      </c>
      <c r="K15" s="592">
        <f>+K16+K17</f>
        <v>0</v>
      </c>
      <c r="L15" s="592">
        <f>+L16+L17</f>
        <v>2225328</v>
      </c>
      <c r="M15" s="576"/>
      <c r="N15" s="576"/>
      <c r="O15" s="576"/>
      <c r="P15" s="576"/>
      <c r="Q15" s="576"/>
      <c r="R15" s="576"/>
      <c r="S15" s="576"/>
      <c r="T15" s="576"/>
      <c r="U15" s="576"/>
      <c r="V15" s="576"/>
      <c r="W15" s="576"/>
      <c r="X15" s="576"/>
      <c r="Y15" s="577"/>
      <c r="Z15" s="575"/>
      <c r="AA15" s="575"/>
    </row>
    <row r="16" spans="1:27" ht="64.5" hidden="1" customHeight="1" outlineLevel="1" x14ac:dyDescent="0.2">
      <c r="A16" s="488"/>
      <c r="B16" s="602">
        <v>1</v>
      </c>
      <c r="C16" s="603">
        <v>2</v>
      </c>
      <c r="D16" s="604" t="s">
        <v>478</v>
      </c>
      <c r="E16" s="605">
        <f>569955</f>
        <v>569955</v>
      </c>
      <c r="F16" s="606">
        <f>+E16/1.11</f>
        <v>513472.9729729729</v>
      </c>
      <c r="G16" s="607" t="s">
        <v>332</v>
      </c>
      <c r="H16" s="605">
        <f>+E16</f>
        <v>569955</v>
      </c>
      <c r="I16" s="605">
        <v>0</v>
      </c>
      <c r="J16" s="605">
        <f t="shared" ref="J16:J55" si="0">+H16*0.12</f>
        <v>68394.599999999991</v>
      </c>
      <c r="K16" s="605">
        <v>0</v>
      </c>
      <c r="L16" s="605">
        <f t="shared" ref="L16:L55" si="1">+H16+J16</f>
        <v>638349.6</v>
      </c>
      <c r="M16" s="608" t="s">
        <v>289</v>
      </c>
      <c r="N16" s="608" t="s">
        <v>296</v>
      </c>
      <c r="O16" s="608" t="s">
        <v>298</v>
      </c>
      <c r="P16" s="608" t="s">
        <v>302</v>
      </c>
      <c r="Q16" s="608" t="s">
        <v>233</v>
      </c>
      <c r="R16" s="609">
        <f>+H16/L16</f>
        <v>0.8928571428571429</v>
      </c>
      <c r="S16" s="609">
        <v>0</v>
      </c>
      <c r="T16" s="609">
        <f>+J16/L16</f>
        <v>0.10714285714285714</v>
      </c>
      <c r="U16" s="609">
        <v>0</v>
      </c>
      <c r="V16" s="609">
        <f>+R16+T16</f>
        <v>1</v>
      </c>
      <c r="W16" s="610">
        <v>43779</v>
      </c>
      <c r="X16" s="610">
        <v>44013</v>
      </c>
      <c r="Y16" s="610">
        <v>44287</v>
      </c>
      <c r="Z16" s="610" t="s">
        <v>324</v>
      </c>
      <c r="AA16" s="510" t="s">
        <v>465</v>
      </c>
    </row>
    <row r="17" spans="1:27" ht="37.5" hidden="1" customHeight="1" outlineLevel="1" x14ac:dyDescent="0.2">
      <c r="A17" s="488"/>
      <c r="B17" s="603">
        <v>2</v>
      </c>
      <c r="C17" s="603">
        <v>2</v>
      </c>
      <c r="D17" s="604" t="s">
        <v>462</v>
      </c>
      <c r="E17" s="605">
        <f>1371348.6+45596.4</f>
        <v>1416945</v>
      </c>
      <c r="F17" s="606">
        <f>+E17/1.11</f>
        <v>1276527.027027027</v>
      </c>
      <c r="G17" s="607" t="s">
        <v>332</v>
      </c>
      <c r="H17" s="605">
        <f>+E17</f>
        <v>1416945</v>
      </c>
      <c r="I17" s="605">
        <v>0</v>
      </c>
      <c r="J17" s="605">
        <f t="shared" si="0"/>
        <v>170033.4</v>
      </c>
      <c r="K17" s="605">
        <v>0</v>
      </c>
      <c r="L17" s="605">
        <f t="shared" si="1"/>
        <v>1586978.4</v>
      </c>
      <c r="M17" s="608" t="s">
        <v>291</v>
      </c>
      <c r="N17" s="608" t="s">
        <v>427</v>
      </c>
      <c r="O17" s="608" t="s">
        <v>428</v>
      </c>
      <c r="P17" s="608" t="s">
        <v>302</v>
      </c>
      <c r="Q17" s="608" t="s">
        <v>233</v>
      </c>
      <c r="R17" s="609"/>
      <c r="S17" s="609"/>
      <c r="T17" s="609"/>
      <c r="U17" s="609"/>
      <c r="V17" s="609"/>
      <c r="W17" s="610">
        <v>43748</v>
      </c>
      <c r="X17" s="610">
        <v>43964</v>
      </c>
      <c r="Y17" s="610">
        <v>44348</v>
      </c>
      <c r="Z17" s="610" t="s">
        <v>429</v>
      </c>
      <c r="AA17" s="510" t="s">
        <v>485</v>
      </c>
    </row>
    <row r="18" spans="1:27" s="578" customFormat="1" ht="30" hidden="1" customHeight="1" x14ac:dyDescent="0.25">
      <c r="A18" s="579"/>
      <c r="B18" s="580"/>
      <c r="C18" s="595">
        <v>3</v>
      </c>
      <c r="D18" s="596" t="s">
        <v>421</v>
      </c>
      <c r="E18" s="597">
        <f>+E19+E26+E56+E59</f>
        <v>9113100</v>
      </c>
      <c r="F18" s="598">
        <f>+F19+F26+F56+F59</f>
        <v>8210000</v>
      </c>
      <c r="G18" s="599"/>
      <c r="H18" s="597">
        <f>+H19+H26+H56+H59</f>
        <v>9113100</v>
      </c>
      <c r="I18" s="597">
        <f>+I19+I26+I56+I59</f>
        <v>0</v>
      </c>
      <c r="J18" s="597">
        <f>+J19+J26+J56+J59</f>
        <v>1085542.8</v>
      </c>
      <c r="K18" s="597">
        <f>+K19+K26+K56+K59</f>
        <v>0</v>
      </c>
      <c r="L18" s="597">
        <f>+L19+L26+L56+L59</f>
        <v>10198642.800000001</v>
      </c>
      <c r="M18" s="576"/>
      <c r="N18" s="576"/>
      <c r="O18" s="576"/>
      <c r="P18" s="576"/>
      <c r="Q18" s="576"/>
      <c r="R18" s="582"/>
      <c r="S18" s="582"/>
      <c r="T18" s="582"/>
      <c r="U18" s="582"/>
      <c r="V18" s="582"/>
      <c r="W18" s="576"/>
      <c r="X18" s="576"/>
      <c r="Y18" s="577"/>
      <c r="Z18" s="575"/>
      <c r="AA18" s="583"/>
    </row>
    <row r="19" spans="1:27" ht="29.25" hidden="1" customHeight="1" x14ac:dyDescent="0.2">
      <c r="A19" s="488"/>
      <c r="B19" s="511"/>
      <c r="C19" s="512" t="s">
        <v>325</v>
      </c>
      <c r="D19" s="519" t="s">
        <v>439</v>
      </c>
      <c r="E19" s="557">
        <f>SUM(E20:E25)</f>
        <v>7548000</v>
      </c>
      <c r="F19" s="559">
        <f>SUM(F20:F25)</f>
        <v>6800000</v>
      </c>
      <c r="G19" s="517"/>
      <c r="H19" s="557">
        <f>SUM(H20:H25)</f>
        <v>7548000</v>
      </c>
      <c r="I19" s="557">
        <f>SUM(I20:I25)</f>
        <v>0</v>
      </c>
      <c r="J19" s="557">
        <f>SUM(J20:J25)</f>
        <v>905760</v>
      </c>
      <c r="K19" s="557">
        <f>SUM(K20:K25)</f>
        <v>0</v>
      </c>
      <c r="L19" s="557">
        <f>SUM(L20:L25)</f>
        <v>8453760</v>
      </c>
      <c r="M19" s="514"/>
      <c r="N19" s="514"/>
      <c r="O19" s="514"/>
      <c r="P19" s="514"/>
      <c r="Q19" s="514"/>
      <c r="R19" s="573"/>
      <c r="S19" s="573"/>
      <c r="T19" s="573"/>
      <c r="U19" s="573"/>
      <c r="V19" s="573"/>
      <c r="W19" s="514"/>
      <c r="X19" s="515"/>
      <c r="Y19" s="515"/>
      <c r="Z19" s="515"/>
      <c r="AA19" s="516"/>
    </row>
    <row r="20" spans="1:27" ht="57" hidden="1" customHeight="1" outlineLevel="1" x14ac:dyDescent="0.2">
      <c r="A20" s="486"/>
      <c r="B20" s="611">
        <v>3</v>
      </c>
      <c r="C20" s="611" t="s">
        <v>325</v>
      </c>
      <c r="D20" s="612" t="s">
        <v>313</v>
      </c>
      <c r="E20" s="605">
        <v>496300</v>
      </c>
      <c r="F20" s="606">
        <f>+E20/1.11</f>
        <v>447117.1171171171</v>
      </c>
      <c r="G20" s="613" t="s">
        <v>332</v>
      </c>
      <c r="H20" s="614">
        <f t="shared" ref="H20:H25" si="2">+E20</f>
        <v>496300</v>
      </c>
      <c r="I20" s="614">
        <v>0</v>
      </c>
      <c r="J20" s="614">
        <f t="shared" si="0"/>
        <v>59556</v>
      </c>
      <c r="K20" s="614">
        <v>0</v>
      </c>
      <c r="L20" s="614">
        <f t="shared" si="1"/>
        <v>555856</v>
      </c>
      <c r="M20" s="608" t="s">
        <v>291</v>
      </c>
      <c r="N20" s="608" t="s">
        <v>296</v>
      </c>
      <c r="O20" s="608" t="s">
        <v>298</v>
      </c>
      <c r="P20" s="608" t="s">
        <v>302</v>
      </c>
      <c r="Q20" s="615" t="s">
        <v>233</v>
      </c>
      <c r="R20" s="616">
        <f>+H20/L20</f>
        <v>0.8928571428571429</v>
      </c>
      <c r="S20" s="616">
        <v>0</v>
      </c>
      <c r="T20" s="616">
        <f>+J20/L20</f>
        <v>0.10714285714285714</v>
      </c>
      <c r="U20" s="616">
        <v>0</v>
      </c>
      <c r="V20" s="616">
        <f>+R20+T20</f>
        <v>1</v>
      </c>
      <c r="W20" s="617">
        <v>43770</v>
      </c>
      <c r="X20" s="617">
        <v>44044</v>
      </c>
      <c r="Y20" s="617">
        <v>44328</v>
      </c>
      <c r="Z20" s="617" t="s">
        <v>324</v>
      </c>
      <c r="AA20" s="617"/>
    </row>
    <row r="21" spans="1:27" ht="70.5" hidden="1" customHeight="1" outlineLevel="1" x14ac:dyDescent="0.2">
      <c r="A21" s="486"/>
      <c r="B21" s="611">
        <v>4</v>
      </c>
      <c r="C21" s="611" t="s">
        <v>325</v>
      </c>
      <c r="D21" s="612" t="s">
        <v>315</v>
      </c>
      <c r="E21" s="605">
        <f>+E20*0.06</f>
        <v>29778</v>
      </c>
      <c r="F21" s="606">
        <f>+E21/1.11</f>
        <v>26827.027027027023</v>
      </c>
      <c r="G21" s="613" t="s">
        <v>332</v>
      </c>
      <c r="H21" s="614">
        <f t="shared" si="2"/>
        <v>29778</v>
      </c>
      <c r="I21" s="614">
        <v>0</v>
      </c>
      <c r="J21" s="614">
        <f t="shared" si="0"/>
        <v>3573.3599999999997</v>
      </c>
      <c r="K21" s="614">
        <v>0</v>
      </c>
      <c r="L21" s="614">
        <f t="shared" si="1"/>
        <v>33351.360000000001</v>
      </c>
      <c r="M21" s="608" t="s">
        <v>291</v>
      </c>
      <c r="N21" s="608" t="s">
        <v>295</v>
      </c>
      <c r="O21" s="608" t="s">
        <v>304</v>
      </c>
      <c r="P21" s="608" t="s">
        <v>306</v>
      </c>
      <c r="Q21" s="608" t="s">
        <v>233</v>
      </c>
      <c r="R21" s="616">
        <f t="shared" ref="R21:R55" si="3">+H21/L21</f>
        <v>0.89285714285714279</v>
      </c>
      <c r="S21" s="616">
        <v>0</v>
      </c>
      <c r="T21" s="616">
        <f t="shared" ref="T21:T55" si="4">+J21/L21</f>
        <v>0.10714285714285714</v>
      </c>
      <c r="U21" s="616">
        <v>0</v>
      </c>
      <c r="V21" s="616">
        <f t="shared" ref="V21:V55" si="5">+R21+T21</f>
        <v>0.99999999999999989</v>
      </c>
      <c r="W21" s="617" t="s">
        <v>397</v>
      </c>
      <c r="X21" s="617">
        <v>44075</v>
      </c>
      <c r="Y21" s="617">
        <v>44317</v>
      </c>
      <c r="Z21" s="617" t="s">
        <v>330</v>
      </c>
      <c r="AA21" s="617" t="s">
        <v>450</v>
      </c>
    </row>
    <row r="22" spans="1:27" ht="52.5" hidden="1" customHeight="1" outlineLevel="1" x14ac:dyDescent="0.2">
      <c r="A22" s="486"/>
      <c r="B22" s="611">
        <v>5</v>
      </c>
      <c r="C22" s="611" t="s">
        <v>325</v>
      </c>
      <c r="D22" s="612" t="s">
        <v>345</v>
      </c>
      <c r="E22" s="605">
        <v>96850</v>
      </c>
      <c r="F22" s="606">
        <f>+E22/1.11</f>
        <v>87252.252252252249</v>
      </c>
      <c r="G22" s="613" t="s">
        <v>332</v>
      </c>
      <c r="H22" s="614">
        <f t="shared" si="2"/>
        <v>96850</v>
      </c>
      <c r="I22" s="614">
        <v>0</v>
      </c>
      <c r="J22" s="614">
        <f t="shared" si="0"/>
        <v>11622</v>
      </c>
      <c r="K22" s="614">
        <v>0</v>
      </c>
      <c r="L22" s="614">
        <f t="shared" si="1"/>
        <v>108472</v>
      </c>
      <c r="M22" s="608" t="s">
        <v>291</v>
      </c>
      <c r="N22" s="608" t="s">
        <v>295</v>
      </c>
      <c r="O22" s="608" t="s">
        <v>354</v>
      </c>
      <c r="P22" s="608" t="s">
        <v>302</v>
      </c>
      <c r="Q22" s="608" t="s">
        <v>233</v>
      </c>
      <c r="R22" s="616">
        <f t="shared" si="3"/>
        <v>0.8928571428571429</v>
      </c>
      <c r="S22" s="616">
        <v>0</v>
      </c>
      <c r="T22" s="616">
        <f t="shared" si="4"/>
        <v>0.10714285714285714</v>
      </c>
      <c r="U22" s="616">
        <v>0</v>
      </c>
      <c r="V22" s="616">
        <f t="shared" si="5"/>
        <v>1</v>
      </c>
      <c r="W22" s="617" t="s">
        <v>397</v>
      </c>
      <c r="X22" s="617">
        <v>43994</v>
      </c>
      <c r="Y22" s="617">
        <v>44173</v>
      </c>
      <c r="Z22" s="617" t="s">
        <v>330</v>
      </c>
      <c r="AA22" s="617" t="s">
        <v>435</v>
      </c>
    </row>
    <row r="23" spans="1:27" ht="52.5" hidden="1" customHeight="1" outlineLevel="1" x14ac:dyDescent="0.2">
      <c r="A23" s="494"/>
      <c r="B23" s="611">
        <v>6</v>
      </c>
      <c r="C23" s="611" t="s">
        <v>325</v>
      </c>
      <c r="D23" s="612" t="s">
        <v>394</v>
      </c>
      <c r="E23" s="614">
        <v>14000</v>
      </c>
      <c r="F23" s="606">
        <f>+E23/1.11</f>
        <v>12612.612612612611</v>
      </c>
      <c r="G23" s="615" t="s">
        <v>340</v>
      </c>
      <c r="H23" s="614">
        <f t="shared" si="2"/>
        <v>14000</v>
      </c>
      <c r="I23" s="614">
        <v>0</v>
      </c>
      <c r="J23" s="614">
        <f t="shared" si="0"/>
        <v>1680</v>
      </c>
      <c r="K23" s="614">
        <v>0</v>
      </c>
      <c r="L23" s="614">
        <f t="shared" si="1"/>
        <v>15680</v>
      </c>
      <c r="M23" s="608" t="s">
        <v>305</v>
      </c>
      <c r="N23" s="608" t="s">
        <v>273</v>
      </c>
      <c r="O23" s="608" t="s">
        <v>299</v>
      </c>
      <c r="P23" s="608" t="s">
        <v>303</v>
      </c>
      <c r="Q23" s="615" t="s">
        <v>241</v>
      </c>
      <c r="R23" s="616">
        <f t="shared" si="3"/>
        <v>0.8928571428571429</v>
      </c>
      <c r="S23" s="616">
        <v>0</v>
      </c>
      <c r="T23" s="616">
        <f t="shared" si="4"/>
        <v>0.10714285714285714</v>
      </c>
      <c r="U23" s="616">
        <v>0</v>
      </c>
      <c r="V23" s="616">
        <f t="shared" si="5"/>
        <v>1</v>
      </c>
      <c r="W23" s="617" t="s">
        <v>397</v>
      </c>
      <c r="X23" s="617">
        <v>43831</v>
      </c>
      <c r="Y23" s="617">
        <v>44166</v>
      </c>
      <c r="Z23" s="617" t="s">
        <v>330</v>
      </c>
      <c r="AA23" s="618" t="s">
        <v>436</v>
      </c>
    </row>
    <row r="24" spans="1:27" ht="62.25" hidden="1" customHeight="1" outlineLevel="1" x14ac:dyDescent="0.2">
      <c r="A24" s="494"/>
      <c r="B24" s="611">
        <v>7</v>
      </c>
      <c r="C24" s="611" t="s">
        <v>325</v>
      </c>
      <c r="D24" s="619" t="s">
        <v>463</v>
      </c>
      <c r="E24" s="620">
        <v>8000</v>
      </c>
      <c r="F24" s="621">
        <f>+E24/1.11</f>
        <v>7207.2072072072069</v>
      </c>
      <c r="G24" s="613" t="s">
        <v>332</v>
      </c>
      <c r="H24" s="614">
        <f t="shared" si="2"/>
        <v>8000</v>
      </c>
      <c r="I24" s="614">
        <v>0</v>
      </c>
      <c r="J24" s="614">
        <f t="shared" si="0"/>
        <v>960</v>
      </c>
      <c r="K24" s="614">
        <v>0</v>
      </c>
      <c r="L24" s="614">
        <f t="shared" si="1"/>
        <v>8960</v>
      </c>
      <c r="M24" s="608" t="s">
        <v>237</v>
      </c>
      <c r="N24" s="608" t="s">
        <v>273</v>
      </c>
      <c r="O24" s="608" t="s">
        <v>299</v>
      </c>
      <c r="P24" s="608" t="s">
        <v>303</v>
      </c>
      <c r="Q24" s="615" t="s">
        <v>241</v>
      </c>
      <c r="R24" s="616"/>
      <c r="S24" s="616"/>
      <c r="T24" s="616"/>
      <c r="U24" s="616"/>
      <c r="V24" s="616"/>
      <c r="W24" s="617" t="s">
        <v>397</v>
      </c>
      <c r="X24" s="617">
        <v>43739</v>
      </c>
      <c r="Y24" s="617">
        <v>43799</v>
      </c>
      <c r="Z24" s="617" t="s">
        <v>330</v>
      </c>
      <c r="AA24" s="636" t="s">
        <v>464</v>
      </c>
    </row>
    <row r="25" spans="1:27" ht="52.5" hidden="1" customHeight="1" outlineLevel="1" x14ac:dyDescent="0.2">
      <c r="A25" s="494"/>
      <c r="B25" s="641">
        <v>8</v>
      </c>
      <c r="C25" s="611" t="s">
        <v>325</v>
      </c>
      <c r="D25" s="619" t="s">
        <v>437</v>
      </c>
      <c r="E25" s="620">
        <v>6903072</v>
      </c>
      <c r="F25" s="621">
        <v>6218983.7837837832</v>
      </c>
      <c r="G25" s="615"/>
      <c r="H25" s="614">
        <f t="shared" si="2"/>
        <v>6903072</v>
      </c>
      <c r="I25" s="614">
        <v>0</v>
      </c>
      <c r="J25" s="614">
        <f t="shared" si="0"/>
        <v>828368.64</v>
      </c>
      <c r="K25" s="614">
        <v>0</v>
      </c>
      <c r="L25" s="614">
        <f t="shared" si="1"/>
        <v>7731440.6399999997</v>
      </c>
      <c r="M25" s="608" t="s">
        <v>430</v>
      </c>
      <c r="N25" s="608" t="s">
        <v>427</v>
      </c>
      <c r="O25" s="608" t="s">
        <v>428</v>
      </c>
      <c r="P25" s="608" t="s">
        <v>302</v>
      </c>
      <c r="Q25" s="615" t="s">
        <v>241</v>
      </c>
      <c r="R25" s="616"/>
      <c r="S25" s="616"/>
      <c r="T25" s="616"/>
      <c r="U25" s="616"/>
      <c r="V25" s="616"/>
      <c r="W25" s="617" t="s">
        <v>397</v>
      </c>
      <c r="X25" s="617" t="s">
        <v>481</v>
      </c>
      <c r="Y25" s="617">
        <v>44501</v>
      </c>
      <c r="Z25" s="617" t="s">
        <v>429</v>
      </c>
      <c r="AA25" s="618" t="s">
        <v>466</v>
      </c>
    </row>
    <row r="26" spans="1:27" ht="35.25" hidden="1" customHeight="1" x14ac:dyDescent="0.2">
      <c r="A26" s="494"/>
      <c r="B26" s="511"/>
      <c r="C26" s="512" t="s">
        <v>326</v>
      </c>
      <c r="D26" s="513" t="s">
        <v>440</v>
      </c>
      <c r="E26" s="558">
        <f>+E27+E42</f>
        <v>1365300</v>
      </c>
      <c r="F26" s="572">
        <f>+F27+F42</f>
        <v>1230000</v>
      </c>
      <c r="G26" s="514"/>
      <c r="H26" s="558">
        <f>+H27+H42</f>
        <v>1365300</v>
      </c>
      <c r="I26" s="558">
        <f>+I27+I42</f>
        <v>0</v>
      </c>
      <c r="J26" s="558">
        <f>+J27+J42</f>
        <v>155806.80000000002</v>
      </c>
      <c r="K26" s="558">
        <f>+K27+K42</f>
        <v>0</v>
      </c>
      <c r="L26" s="558">
        <f>+L27+L42</f>
        <v>1521106.7999999998</v>
      </c>
      <c r="M26" s="514"/>
      <c r="N26" s="514"/>
      <c r="O26" s="514"/>
      <c r="P26" s="514"/>
      <c r="Q26" s="514"/>
      <c r="R26" s="573"/>
      <c r="S26" s="573"/>
      <c r="T26" s="573"/>
      <c r="U26" s="573"/>
      <c r="V26" s="573"/>
      <c r="W26" s="514"/>
      <c r="X26" s="515"/>
      <c r="Y26" s="515"/>
      <c r="Z26" s="515"/>
      <c r="AA26" s="516"/>
    </row>
    <row r="27" spans="1:27" ht="33" hidden="1" customHeight="1" outlineLevel="1" x14ac:dyDescent="0.2">
      <c r="A27" s="494"/>
      <c r="B27" s="568"/>
      <c r="C27" s="622"/>
      <c r="D27" s="623" t="s">
        <v>431</v>
      </c>
      <c r="E27" s="624">
        <f t="shared" ref="E27:L27" si="6">SUM(E28:E41)</f>
        <v>1162036</v>
      </c>
      <c r="F27" s="625">
        <f t="shared" si="6"/>
        <v>1046879.2792792793</v>
      </c>
      <c r="G27" s="624">
        <f t="shared" si="6"/>
        <v>0</v>
      </c>
      <c r="H27" s="624">
        <f t="shared" si="6"/>
        <v>1162036</v>
      </c>
      <c r="I27" s="624">
        <f t="shared" si="6"/>
        <v>0</v>
      </c>
      <c r="J27" s="624">
        <f t="shared" si="6"/>
        <v>139444.32</v>
      </c>
      <c r="K27" s="624">
        <f t="shared" si="6"/>
        <v>0</v>
      </c>
      <c r="L27" s="624">
        <f t="shared" si="6"/>
        <v>1301480.3199999998</v>
      </c>
      <c r="M27" s="626"/>
      <c r="N27" s="626"/>
      <c r="O27" s="626"/>
      <c r="P27" s="626"/>
      <c r="Q27" s="626"/>
      <c r="R27" s="627"/>
      <c r="S27" s="627"/>
      <c r="T27" s="627"/>
      <c r="U27" s="627"/>
      <c r="V27" s="627"/>
      <c r="W27" s="628"/>
      <c r="X27" s="628"/>
      <c r="Y27" s="628"/>
      <c r="Z27" s="628"/>
      <c r="AA27" s="629"/>
    </row>
    <row r="28" spans="1:27" ht="57.75" hidden="1" customHeight="1" outlineLevel="1" x14ac:dyDescent="0.2">
      <c r="A28" s="494"/>
      <c r="B28" s="509">
        <v>9</v>
      </c>
      <c r="C28" s="602" t="s">
        <v>326</v>
      </c>
      <c r="D28" s="630" t="s">
        <v>347</v>
      </c>
      <c r="E28" s="631">
        <v>241800</v>
      </c>
      <c r="F28" s="606">
        <f t="shared" ref="F28:F55" si="7">+E28/1.11</f>
        <v>217837.83783783781</v>
      </c>
      <c r="G28" s="607" t="s">
        <v>332</v>
      </c>
      <c r="H28" s="605">
        <f t="shared" ref="H28:H55" si="8">+E28</f>
        <v>241800</v>
      </c>
      <c r="I28" s="605">
        <v>0</v>
      </c>
      <c r="J28" s="605">
        <f t="shared" ref="J28:J32" si="9">+H28*0.12</f>
        <v>29016</v>
      </c>
      <c r="K28" s="605">
        <v>0</v>
      </c>
      <c r="L28" s="605">
        <f t="shared" ref="L28:L32" si="10">+H28+J28</f>
        <v>270816</v>
      </c>
      <c r="M28" s="608" t="s">
        <v>237</v>
      </c>
      <c r="N28" s="608" t="s">
        <v>296</v>
      </c>
      <c r="O28" s="608" t="s">
        <v>358</v>
      </c>
      <c r="P28" s="608" t="s">
        <v>302</v>
      </c>
      <c r="Q28" s="608" t="s">
        <v>233</v>
      </c>
      <c r="R28" s="609">
        <f t="shared" si="3"/>
        <v>0.8928571428571429</v>
      </c>
      <c r="S28" s="609">
        <v>0</v>
      </c>
      <c r="T28" s="609">
        <f t="shared" si="4"/>
        <v>0.10714285714285714</v>
      </c>
      <c r="U28" s="609">
        <v>0</v>
      </c>
      <c r="V28" s="609">
        <f t="shared" si="5"/>
        <v>1</v>
      </c>
      <c r="W28" s="610">
        <v>43282</v>
      </c>
      <c r="X28" s="610">
        <v>43444</v>
      </c>
      <c r="Y28" s="610">
        <v>44386</v>
      </c>
      <c r="Z28" s="610" t="s">
        <v>324</v>
      </c>
      <c r="AA28" s="610" t="s">
        <v>356</v>
      </c>
    </row>
    <row r="29" spans="1:27" ht="60.75" hidden="1" customHeight="1" outlineLevel="1" x14ac:dyDescent="0.2">
      <c r="A29" s="494"/>
      <c r="B29" s="509">
        <v>10</v>
      </c>
      <c r="C29" s="602" t="s">
        <v>326</v>
      </c>
      <c r="D29" s="632" t="s">
        <v>348</v>
      </c>
      <c r="E29" s="633">
        <v>88170</v>
      </c>
      <c r="F29" s="606">
        <f t="shared" si="7"/>
        <v>79432.432432432426</v>
      </c>
      <c r="G29" s="607" t="s">
        <v>332</v>
      </c>
      <c r="H29" s="605">
        <f t="shared" si="8"/>
        <v>88170</v>
      </c>
      <c r="I29" s="605">
        <v>0</v>
      </c>
      <c r="J29" s="605">
        <f t="shared" si="9"/>
        <v>10580.4</v>
      </c>
      <c r="K29" s="605">
        <v>0</v>
      </c>
      <c r="L29" s="605">
        <f t="shared" si="10"/>
        <v>98750.399999999994</v>
      </c>
      <c r="M29" s="608" t="s">
        <v>237</v>
      </c>
      <c r="N29" s="608" t="s">
        <v>295</v>
      </c>
      <c r="O29" s="608" t="s">
        <v>359</v>
      </c>
      <c r="P29" s="608" t="s">
        <v>302</v>
      </c>
      <c r="Q29" s="608" t="s">
        <v>233</v>
      </c>
      <c r="R29" s="609">
        <f t="shared" si="3"/>
        <v>0.8928571428571429</v>
      </c>
      <c r="S29" s="609">
        <v>0</v>
      </c>
      <c r="T29" s="609">
        <f t="shared" si="4"/>
        <v>0.10714285714285715</v>
      </c>
      <c r="U29" s="609">
        <v>0</v>
      </c>
      <c r="V29" s="609">
        <f t="shared" si="5"/>
        <v>1</v>
      </c>
      <c r="W29" s="610">
        <v>43366</v>
      </c>
      <c r="X29" s="610">
        <v>43542</v>
      </c>
      <c r="Y29" s="610">
        <v>44272</v>
      </c>
      <c r="Z29" s="610" t="s">
        <v>324</v>
      </c>
      <c r="AA29" s="610" t="s">
        <v>356</v>
      </c>
    </row>
    <row r="30" spans="1:27" ht="66.75" hidden="1" customHeight="1" outlineLevel="1" x14ac:dyDescent="0.2">
      <c r="A30" s="494"/>
      <c r="B30" s="509">
        <v>11</v>
      </c>
      <c r="C30" s="602" t="s">
        <v>326</v>
      </c>
      <c r="D30" s="634" t="s">
        <v>349</v>
      </c>
      <c r="E30" s="633">
        <v>110880</v>
      </c>
      <c r="F30" s="606">
        <f t="shared" si="7"/>
        <v>99891.891891891879</v>
      </c>
      <c r="G30" s="607" t="s">
        <v>332</v>
      </c>
      <c r="H30" s="605">
        <f t="shared" si="8"/>
        <v>110880</v>
      </c>
      <c r="I30" s="605">
        <v>0</v>
      </c>
      <c r="J30" s="605">
        <f t="shared" si="9"/>
        <v>13305.6</v>
      </c>
      <c r="K30" s="605">
        <v>0</v>
      </c>
      <c r="L30" s="605">
        <f t="shared" si="10"/>
        <v>124185.60000000001</v>
      </c>
      <c r="M30" s="608" t="s">
        <v>237</v>
      </c>
      <c r="N30" s="608" t="s">
        <v>295</v>
      </c>
      <c r="O30" s="608" t="s">
        <v>358</v>
      </c>
      <c r="P30" s="608" t="s">
        <v>302</v>
      </c>
      <c r="Q30" s="608" t="s">
        <v>233</v>
      </c>
      <c r="R30" s="609">
        <f t="shared" si="3"/>
        <v>0.89285714285714279</v>
      </c>
      <c r="S30" s="609">
        <v>0</v>
      </c>
      <c r="T30" s="609">
        <f t="shared" si="4"/>
        <v>0.10714285714285714</v>
      </c>
      <c r="U30" s="609">
        <v>0</v>
      </c>
      <c r="V30" s="609">
        <f t="shared" si="5"/>
        <v>0.99999999999999989</v>
      </c>
      <c r="W30" s="610">
        <v>43366</v>
      </c>
      <c r="X30" s="610">
        <v>43542</v>
      </c>
      <c r="Y30" s="610">
        <v>44394</v>
      </c>
      <c r="Z30" s="610" t="s">
        <v>324</v>
      </c>
      <c r="AA30" s="610" t="s">
        <v>356</v>
      </c>
    </row>
    <row r="31" spans="1:27" ht="69.75" hidden="1" customHeight="1" outlineLevel="1" x14ac:dyDescent="0.2">
      <c r="A31" s="494"/>
      <c r="B31" s="509">
        <v>12</v>
      </c>
      <c r="C31" s="602" t="s">
        <v>326</v>
      </c>
      <c r="D31" s="632" t="s">
        <v>350</v>
      </c>
      <c r="E31" s="633">
        <v>89460</v>
      </c>
      <c r="F31" s="606">
        <f t="shared" si="7"/>
        <v>80594.594594594586</v>
      </c>
      <c r="G31" s="607" t="s">
        <v>332</v>
      </c>
      <c r="H31" s="605">
        <f t="shared" si="8"/>
        <v>89460</v>
      </c>
      <c r="I31" s="605">
        <v>0</v>
      </c>
      <c r="J31" s="605">
        <f t="shared" si="9"/>
        <v>10735.199999999999</v>
      </c>
      <c r="K31" s="605">
        <v>0</v>
      </c>
      <c r="L31" s="605">
        <f t="shared" si="10"/>
        <v>100195.2</v>
      </c>
      <c r="M31" s="608" t="s">
        <v>237</v>
      </c>
      <c r="N31" s="608" t="s">
        <v>295</v>
      </c>
      <c r="O31" s="608" t="s">
        <v>358</v>
      </c>
      <c r="P31" s="608" t="s">
        <v>302</v>
      </c>
      <c r="Q31" s="608" t="s">
        <v>233</v>
      </c>
      <c r="R31" s="609">
        <f t="shared" si="3"/>
        <v>0.8928571428571429</v>
      </c>
      <c r="S31" s="609">
        <v>0</v>
      </c>
      <c r="T31" s="609">
        <f t="shared" si="4"/>
        <v>0.10714285714285714</v>
      </c>
      <c r="U31" s="609">
        <v>0</v>
      </c>
      <c r="V31" s="609">
        <f t="shared" si="5"/>
        <v>1</v>
      </c>
      <c r="W31" s="610">
        <v>43366</v>
      </c>
      <c r="X31" s="610">
        <v>43542</v>
      </c>
      <c r="Y31" s="610">
        <v>44394</v>
      </c>
      <c r="Z31" s="610" t="s">
        <v>324</v>
      </c>
      <c r="AA31" s="610" t="s">
        <v>356</v>
      </c>
    </row>
    <row r="32" spans="1:27" ht="42" hidden="1" customHeight="1" outlineLevel="1" x14ac:dyDescent="0.2">
      <c r="A32" s="494"/>
      <c r="B32" s="509">
        <v>13</v>
      </c>
      <c r="C32" s="602" t="s">
        <v>326</v>
      </c>
      <c r="D32" s="632" t="s">
        <v>236</v>
      </c>
      <c r="E32" s="635">
        <f>4500*22</f>
        <v>99000</v>
      </c>
      <c r="F32" s="606">
        <f t="shared" si="7"/>
        <v>89189.189189189186</v>
      </c>
      <c r="G32" s="607" t="s">
        <v>332</v>
      </c>
      <c r="H32" s="605">
        <f t="shared" si="8"/>
        <v>99000</v>
      </c>
      <c r="I32" s="605">
        <v>0</v>
      </c>
      <c r="J32" s="605">
        <f t="shared" si="9"/>
        <v>11880</v>
      </c>
      <c r="K32" s="605">
        <v>0</v>
      </c>
      <c r="L32" s="605">
        <f t="shared" si="10"/>
        <v>110880</v>
      </c>
      <c r="M32" s="608" t="s">
        <v>237</v>
      </c>
      <c r="N32" s="608" t="s">
        <v>295</v>
      </c>
      <c r="O32" s="608" t="s">
        <v>358</v>
      </c>
      <c r="P32" s="608" t="s">
        <v>302</v>
      </c>
      <c r="Q32" s="608" t="s">
        <v>233</v>
      </c>
      <c r="R32" s="609">
        <f t="shared" si="3"/>
        <v>0.8928571428571429</v>
      </c>
      <c r="S32" s="609">
        <v>0</v>
      </c>
      <c r="T32" s="609">
        <f t="shared" si="4"/>
        <v>0.10714285714285714</v>
      </c>
      <c r="U32" s="609">
        <v>0</v>
      </c>
      <c r="V32" s="609">
        <f t="shared" si="5"/>
        <v>1</v>
      </c>
      <c r="W32" s="610">
        <v>43366</v>
      </c>
      <c r="X32" s="610">
        <v>43740</v>
      </c>
      <c r="Y32" s="610">
        <v>44378</v>
      </c>
      <c r="Z32" s="610" t="s">
        <v>324</v>
      </c>
      <c r="AA32" s="610" t="s">
        <v>467</v>
      </c>
    </row>
    <row r="33" spans="1:27" ht="36" hidden="1" customHeight="1" outlineLevel="1" x14ac:dyDescent="0.2">
      <c r="A33" s="495"/>
      <c r="B33" s="509">
        <v>14</v>
      </c>
      <c r="C33" s="602" t="s">
        <v>326</v>
      </c>
      <c r="D33" s="632" t="s">
        <v>309</v>
      </c>
      <c r="E33" s="605">
        <f>1800*20</f>
        <v>36000</v>
      </c>
      <c r="F33" s="606">
        <f t="shared" si="7"/>
        <v>32432.43243243243</v>
      </c>
      <c r="G33" s="607" t="s">
        <v>332</v>
      </c>
      <c r="H33" s="605">
        <f t="shared" si="8"/>
        <v>36000</v>
      </c>
      <c r="I33" s="605">
        <v>0</v>
      </c>
      <c r="J33" s="605">
        <f t="shared" si="0"/>
        <v>4320</v>
      </c>
      <c r="K33" s="605">
        <v>0</v>
      </c>
      <c r="L33" s="605">
        <f t="shared" si="1"/>
        <v>40320</v>
      </c>
      <c r="M33" s="608" t="s">
        <v>237</v>
      </c>
      <c r="N33" s="608" t="s">
        <v>295</v>
      </c>
      <c r="O33" s="608" t="s">
        <v>304</v>
      </c>
      <c r="P33" s="608" t="s">
        <v>306</v>
      </c>
      <c r="Q33" s="608" t="s">
        <v>233</v>
      </c>
      <c r="R33" s="609">
        <f t="shared" si="3"/>
        <v>0.8928571428571429</v>
      </c>
      <c r="S33" s="609">
        <v>0</v>
      </c>
      <c r="T33" s="609">
        <f t="shared" si="4"/>
        <v>0.10714285714285714</v>
      </c>
      <c r="U33" s="609">
        <v>0</v>
      </c>
      <c r="V33" s="609">
        <f t="shared" si="5"/>
        <v>1</v>
      </c>
      <c r="W33" s="617" t="s">
        <v>397</v>
      </c>
      <c r="X33" s="610">
        <v>43831</v>
      </c>
      <c r="Y33" s="610">
        <v>44403</v>
      </c>
      <c r="Z33" s="610" t="s">
        <v>324</v>
      </c>
      <c r="AA33" s="636" t="s">
        <v>468</v>
      </c>
    </row>
    <row r="34" spans="1:27" ht="59.25" hidden="1" customHeight="1" outlineLevel="1" x14ac:dyDescent="0.2">
      <c r="A34" s="495"/>
      <c r="B34" s="509">
        <v>15</v>
      </c>
      <c r="C34" s="602" t="s">
        <v>326</v>
      </c>
      <c r="D34" s="632" t="s">
        <v>327</v>
      </c>
      <c r="E34" s="605">
        <v>33000</v>
      </c>
      <c r="F34" s="606">
        <f t="shared" ref="F34:F40" si="11">+E34/1.11</f>
        <v>29729.729729729726</v>
      </c>
      <c r="G34" s="608" t="s">
        <v>341</v>
      </c>
      <c r="H34" s="605">
        <f t="shared" ref="H34:H41" si="12">+E34</f>
        <v>33000</v>
      </c>
      <c r="I34" s="605">
        <v>0</v>
      </c>
      <c r="J34" s="605">
        <f t="shared" ref="J34:J40" si="13">+H34*0.12</f>
        <v>3960</v>
      </c>
      <c r="K34" s="605">
        <v>0</v>
      </c>
      <c r="L34" s="605">
        <f t="shared" ref="L34:L40" si="14">+H34+J34</f>
        <v>36960</v>
      </c>
      <c r="M34" s="608" t="s">
        <v>305</v>
      </c>
      <c r="N34" s="608" t="s">
        <v>295</v>
      </c>
      <c r="O34" s="608" t="s">
        <v>307</v>
      </c>
      <c r="P34" s="608" t="s">
        <v>303</v>
      </c>
      <c r="Q34" s="608" t="s">
        <v>233</v>
      </c>
      <c r="R34" s="609">
        <f>+H34/L34</f>
        <v>0.8928571428571429</v>
      </c>
      <c r="S34" s="609">
        <v>0</v>
      </c>
      <c r="T34" s="609">
        <f>+J34/L34</f>
        <v>0.10714285714285714</v>
      </c>
      <c r="U34" s="609">
        <v>0</v>
      </c>
      <c r="V34" s="609">
        <f>+R34+T34</f>
        <v>1</v>
      </c>
      <c r="W34" s="617" t="s">
        <v>397</v>
      </c>
      <c r="X34" s="610">
        <v>43983</v>
      </c>
      <c r="Y34" s="610">
        <v>44378</v>
      </c>
      <c r="Z34" s="636" t="s">
        <v>330</v>
      </c>
      <c r="AA34" s="636" t="s">
        <v>470</v>
      </c>
    </row>
    <row r="35" spans="1:27" ht="59.25" customHeight="1" outlineLevel="1" x14ac:dyDescent="0.2">
      <c r="A35" s="495"/>
      <c r="B35" s="509">
        <v>16</v>
      </c>
      <c r="C35" s="602" t="s">
        <v>326</v>
      </c>
      <c r="D35" s="655" t="s">
        <v>491</v>
      </c>
      <c r="E35" s="605">
        <v>10000</v>
      </c>
      <c r="F35" s="606">
        <f t="shared" si="11"/>
        <v>9009.0090090090089</v>
      </c>
      <c r="G35" s="607" t="s">
        <v>332</v>
      </c>
      <c r="H35" s="605">
        <f t="shared" si="12"/>
        <v>10000</v>
      </c>
      <c r="I35" s="605">
        <v>0</v>
      </c>
      <c r="J35" s="605">
        <f t="shared" si="13"/>
        <v>1200</v>
      </c>
      <c r="K35" s="605">
        <v>0</v>
      </c>
      <c r="L35" s="605">
        <f t="shared" si="14"/>
        <v>11200</v>
      </c>
      <c r="M35" s="608" t="s">
        <v>237</v>
      </c>
      <c r="N35" s="608" t="s">
        <v>273</v>
      </c>
      <c r="O35" s="608" t="s">
        <v>299</v>
      </c>
      <c r="P35" s="608" t="s">
        <v>303</v>
      </c>
      <c r="Q35" s="608" t="s">
        <v>241</v>
      </c>
      <c r="R35" s="609">
        <f t="shared" ref="R35:R40" si="15">+H35/L35</f>
        <v>0.8928571428571429</v>
      </c>
      <c r="S35" s="609">
        <v>0</v>
      </c>
      <c r="T35" s="609">
        <f t="shared" ref="T35:T40" si="16">+J35/L35</f>
        <v>0.10714285714285714</v>
      </c>
      <c r="U35" s="609">
        <v>0</v>
      </c>
      <c r="V35" s="609">
        <f t="shared" ref="V35:V40" si="17">+R35+T35</f>
        <v>1</v>
      </c>
      <c r="W35" s="617" t="s">
        <v>397</v>
      </c>
      <c r="X35" s="610">
        <v>43831</v>
      </c>
      <c r="Y35" s="610">
        <v>43891</v>
      </c>
      <c r="Z35" s="636" t="s">
        <v>324</v>
      </c>
      <c r="AA35" s="636"/>
    </row>
    <row r="36" spans="1:27" ht="79.5" customHeight="1" outlineLevel="1" x14ac:dyDescent="0.2">
      <c r="A36" s="495"/>
      <c r="B36" s="509">
        <v>17</v>
      </c>
      <c r="C36" s="602" t="s">
        <v>326</v>
      </c>
      <c r="D36" s="655" t="s">
        <v>488</v>
      </c>
      <c r="E36" s="605">
        <v>12000</v>
      </c>
      <c r="F36" s="606">
        <f t="shared" si="11"/>
        <v>10810.81081081081</v>
      </c>
      <c r="G36" s="607" t="s">
        <v>332</v>
      </c>
      <c r="H36" s="605">
        <f t="shared" si="12"/>
        <v>12000</v>
      </c>
      <c r="I36" s="605">
        <v>0</v>
      </c>
      <c r="J36" s="605">
        <f t="shared" si="13"/>
        <v>1440</v>
      </c>
      <c r="K36" s="605">
        <v>0</v>
      </c>
      <c r="L36" s="605">
        <f t="shared" si="14"/>
        <v>13440</v>
      </c>
      <c r="M36" s="608" t="s">
        <v>237</v>
      </c>
      <c r="N36" s="608" t="s">
        <v>273</v>
      </c>
      <c r="O36" s="608" t="s">
        <v>299</v>
      </c>
      <c r="P36" s="608" t="s">
        <v>303</v>
      </c>
      <c r="Q36" s="608" t="s">
        <v>241</v>
      </c>
      <c r="R36" s="609">
        <f t="shared" si="15"/>
        <v>0.8928571428571429</v>
      </c>
      <c r="S36" s="609">
        <v>0</v>
      </c>
      <c r="T36" s="609">
        <f t="shared" si="16"/>
        <v>0.10714285714285714</v>
      </c>
      <c r="U36" s="609">
        <v>0</v>
      </c>
      <c r="V36" s="609">
        <f t="shared" si="17"/>
        <v>1</v>
      </c>
      <c r="W36" s="617" t="s">
        <v>397</v>
      </c>
      <c r="X36" s="610">
        <v>43831</v>
      </c>
      <c r="Y36" s="610">
        <v>43891</v>
      </c>
      <c r="Z36" s="636" t="s">
        <v>324</v>
      </c>
      <c r="AA36" s="636"/>
    </row>
    <row r="37" spans="1:27" ht="67.5" customHeight="1" outlineLevel="1" x14ac:dyDescent="0.2">
      <c r="A37" s="495"/>
      <c r="B37" s="509">
        <v>18</v>
      </c>
      <c r="C37" s="602" t="s">
        <v>326</v>
      </c>
      <c r="D37" s="655" t="s">
        <v>492</v>
      </c>
      <c r="E37" s="605">
        <v>15000</v>
      </c>
      <c r="F37" s="606">
        <f t="shared" si="11"/>
        <v>13513.513513513511</v>
      </c>
      <c r="G37" s="607" t="s">
        <v>332</v>
      </c>
      <c r="H37" s="605">
        <f t="shared" si="12"/>
        <v>15000</v>
      </c>
      <c r="I37" s="605">
        <v>0</v>
      </c>
      <c r="J37" s="605">
        <f t="shared" si="13"/>
        <v>1800</v>
      </c>
      <c r="K37" s="605">
        <v>0</v>
      </c>
      <c r="L37" s="605">
        <f t="shared" si="14"/>
        <v>16800</v>
      </c>
      <c r="M37" s="608" t="s">
        <v>237</v>
      </c>
      <c r="N37" s="608" t="s">
        <v>273</v>
      </c>
      <c r="O37" s="608" t="s">
        <v>299</v>
      </c>
      <c r="P37" s="608" t="s">
        <v>303</v>
      </c>
      <c r="Q37" s="608" t="s">
        <v>241</v>
      </c>
      <c r="R37" s="609">
        <f t="shared" si="15"/>
        <v>0.8928571428571429</v>
      </c>
      <c r="S37" s="609">
        <v>0</v>
      </c>
      <c r="T37" s="609">
        <f t="shared" si="16"/>
        <v>0.10714285714285714</v>
      </c>
      <c r="U37" s="609">
        <v>0</v>
      </c>
      <c r="V37" s="609">
        <f t="shared" si="17"/>
        <v>1</v>
      </c>
      <c r="W37" s="617" t="s">
        <v>397</v>
      </c>
      <c r="X37" s="610">
        <v>43831</v>
      </c>
      <c r="Y37" s="610">
        <v>43891</v>
      </c>
      <c r="Z37" s="636" t="s">
        <v>324</v>
      </c>
      <c r="AA37" s="636"/>
    </row>
    <row r="38" spans="1:27" ht="67.5" customHeight="1" outlineLevel="1" x14ac:dyDescent="0.2">
      <c r="A38" s="495"/>
      <c r="B38" s="509">
        <v>19</v>
      </c>
      <c r="C38" s="602" t="s">
        <v>326</v>
      </c>
      <c r="D38" s="655" t="s">
        <v>489</v>
      </c>
      <c r="E38" s="605">
        <v>11000</v>
      </c>
      <c r="F38" s="606">
        <f t="shared" si="11"/>
        <v>9909.9099099099094</v>
      </c>
      <c r="G38" s="607" t="s">
        <v>332</v>
      </c>
      <c r="H38" s="605">
        <f t="shared" si="12"/>
        <v>11000</v>
      </c>
      <c r="I38" s="605">
        <v>0</v>
      </c>
      <c r="J38" s="605">
        <f t="shared" si="13"/>
        <v>1320</v>
      </c>
      <c r="K38" s="605">
        <v>0</v>
      </c>
      <c r="L38" s="605">
        <f t="shared" si="14"/>
        <v>12320</v>
      </c>
      <c r="M38" s="608" t="s">
        <v>237</v>
      </c>
      <c r="N38" s="608" t="s">
        <v>273</v>
      </c>
      <c r="O38" s="608" t="s">
        <v>299</v>
      </c>
      <c r="P38" s="608" t="s">
        <v>303</v>
      </c>
      <c r="Q38" s="608" t="s">
        <v>241</v>
      </c>
      <c r="R38" s="609">
        <f t="shared" si="15"/>
        <v>0.8928571428571429</v>
      </c>
      <c r="S38" s="609">
        <v>0</v>
      </c>
      <c r="T38" s="609">
        <f t="shared" si="16"/>
        <v>0.10714285714285714</v>
      </c>
      <c r="U38" s="609">
        <v>0</v>
      </c>
      <c r="V38" s="609">
        <f t="shared" si="17"/>
        <v>1</v>
      </c>
      <c r="W38" s="617" t="s">
        <v>397</v>
      </c>
      <c r="X38" s="610">
        <v>43831</v>
      </c>
      <c r="Y38" s="610">
        <v>43891</v>
      </c>
      <c r="Z38" s="636" t="s">
        <v>324</v>
      </c>
      <c r="AA38" s="636"/>
    </row>
    <row r="39" spans="1:27" ht="67.5" customHeight="1" outlineLevel="1" x14ac:dyDescent="0.2">
      <c r="A39" s="495"/>
      <c r="B39" s="509">
        <v>20</v>
      </c>
      <c r="C39" s="602" t="s">
        <v>326</v>
      </c>
      <c r="D39" s="655" t="s">
        <v>493</v>
      </c>
      <c r="E39" s="605">
        <v>4500</v>
      </c>
      <c r="F39" s="606">
        <f t="shared" si="11"/>
        <v>4054.0540540540537</v>
      </c>
      <c r="G39" s="607" t="s">
        <v>332</v>
      </c>
      <c r="H39" s="605">
        <f t="shared" si="12"/>
        <v>4500</v>
      </c>
      <c r="I39" s="605">
        <v>0</v>
      </c>
      <c r="J39" s="605">
        <f t="shared" si="13"/>
        <v>540</v>
      </c>
      <c r="K39" s="605">
        <v>0</v>
      </c>
      <c r="L39" s="605">
        <f t="shared" si="14"/>
        <v>5040</v>
      </c>
      <c r="M39" s="608" t="s">
        <v>237</v>
      </c>
      <c r="N39" s="608" t="s">
        <v>273</v>
      </c>
      <c r="O39" s="608" t="s">
        <v>299</v>
      </c>
      <c r="P39" s="608" t="s">
        <v>303</v>
      </c>
      <c r="Q39" s="608" t="s">
        <v>241</v>
      </c>
      <c r="R39" s="609">
        <f t="shared" si="15"/>
        <v>0.8928571428571429</v>
      </c>
      <c r="S39" s="609">
        <v>0</v>
      </c>
      <c r="T39" s="609">
        <f t="shared" si="16"/>
        <v>0.10714285714285714</v>
      </c>
      <c r="U39" s="609">
        <v>0</v>
      </c>
      <c r="V39" s="609">
        <f t="shared" si="17"/>
        <v>1</v>
      </c>
      <c r="W39" s="617" t="s">
        <v>397</v>
      </c>
      <c r="X39" s="610">
        <v>43831</v>
      </c>
      <c r="Y39" s="610">
        <v>43862</v>
      </c>
      <c r="Z39" s="636" t="s">
        <v>324</v>
      </c>
      <c r="AA39" s="636"/>
    </row>
    <row r="40" spans="1:27" ht="63" customHeight="1" outlineLevel="1" x14ac:dyDescent="0.2">
      <c r="A40" s="495"/>
      <c r="B40" s="509">
        <v>21</v>
      </c>
      <c r="C40" s="602" t="s">
        <v>326</v>
      </c>
      <c r="D40" s="655" t="s">
        <v>490</v>
      </c>
      <c r="E40" s="605">
        <v>14000</v>
      </c>
      <c r="F40" s="606">
        <f t="shared" si="11"/>
        <v>12612.612612612611</v>
      </c>
      <c r="G40" s="607" t="s">
        <v>332</v>
      </c>
      <c r="H40" s="605">
        <f t="shared" si="12"/>
        <v>14000</v>
      </c>
      <c r="I40" s="605">
        <v>0</v>
      </c>
      <c r="J40" s="605">
        <f t="shared" si="13"/>
        <v>1680</v>
      </c>
      <c r="K40" s="605">
        <v>0</v>
      </c>
      <c r="L40" s="605">
        <f t="shared" si="14"/>
        <v>15680</v>
      </c>
      <c r="M40" s="608" t="s">
        <v>237</v>
      </c>
      <c r="N40" s="608" t="s">
        <v>273</v>
      </c>
      <c r="O40" s="608" t="s">
        <v>299</v>
      </c>
      <c r="P40" s="608" t="s">
        <v>303</v>
      </c>
      <c r="Q40" s="608" t="s">
        <v>241</v>
      </c>
      <c r="R40" s="609">
        <f t="shared" si="15"/>
        <v>0.8928571428571429</v>
      </c>
      <c r="S40" s="609">
        <v>0</v>
      </c>
      <c r="T40" s="609">
        <f t="shared" si="16"/>
        <v>0.10714285714285714</v>
      </c>
      <c r="U40" s="609">
        <v>0</v>
      </c>
      <c r="V40" s="609">
        <f t="shared" si="17"/>
        <v>1</v>
      </c>
      <c r="W40" s="617" t="s">
        <v>397</v>
      </c>
      <c r="X40" s="610">
        <v>43831</v>
      </c>
      <c r="Y40" s="610">
        <v>43891</v>
      </c>
      <c r="Z40" s="636" t="s">
        <v>324</v>
      </c>
      <c r="AA40" s="636"/>
    </row>
    <row r="41" spans="1:27" ht="34.5" hidden="1" customHeight="1" outlineLevel="1" x14ac:dyDescent="0.2">
      <c r="A41" s="495"/>
      <c r="B41" s="508">
        <v>22</v>
      </c>
      <c r="C41" s="602" t="s">
        <v>326</v>
      </c>
      <c r="D41" s="632" t="s">
        <v>433</v>
      </c>
      <c r="E41" s="605">
        <f>470526-66500-6800</f>
        <v>397226</v>
      </c>
      <c r="F41" s="606">
        <f t="shared" ref="F41" si="18">+E41/1.11</f>
        <v>357861.26126126124</v>
      </c>
      <c r="G41" s="607" t="s">
        <v>332</v>
      </c>
      <c r="H41" s="614">
        <f t="shared" si="12"/>
        <v>397226</v>
      </c>
      <c r="I41" s="614">
        <v>0</v>
      </c>
      <c r="J41" s="614">
        <f t="shared" si="0"/>
        <v>47667.119999999995</v>
      </c>
      <c r="K41" s="614">
        <v>0</v>
      </c>
      <c r="L41" s="614">
        <f t="shared" si="1"/>
        <v>444893.12</v>
      </c>
      <c r="M41" s="608" t="s">
        <v>428</v>
      </c>
      <c r="N41" s="608" t="s">
        <v>428</v>
      </c>
      <c r="O41" s="608" t="s">
        <v>428</v>
      </c>
      <c r="P41" s="608" t="s">
        <v>428</v>
      </c>
      <c r="Q41" s="608" t="s">
        <v>428</v>
      </c>
      <c r="R41" s="609"/>
      <c r="S41" s="609"/>
      <c r="T41" s="609"/>
      <c r="U41" s="609"/>
      <c r="V41" s="609"/>
      <c r="W41" s="617" t="s">
        <v>397</v>
      </c>
      <c r="X41" s="610">
        <v>43709</v>
      </c>
      <c r="Y41" s="610">
        <v>44013</v>
      </c>
      <c r="Z41" s="636" t="s">
        <v>429</v>
      </c>
      <c r="AA41" s="636" t="s">
        <v>469</v>
      </c>
    </row>
    <row r="42" spans="1:27" ht="23.25" hidden="1" customHeight="1" outlineLevel="1" x14ac:dyDescent="0.2">
      <c r="A42" s="495"/>
      <c r="B42" s="569"/>
      <c r="C42" s="637"/>
      <c r="D42" s="623" t="s">
        <v>432</v>
      </c>
      <c r="E42" s="638">
        <f>SUM(E43:E55)</f>
        <v>203264</v>
      </c>
      <c r="F42" s="639">
        <f>SUM(F43:F55)</f>
        <v>183120.72072072071</v>
      </c>
      <c r="G42" s="638">
        <f>SUM(G43:G53)</f>
        <v>0</v>
      </c>
      <c r="H42" s="638">
        <f>SUM(H43:H55)</f>
        <v>203264</v>
      </c>
      <c r="I42" s="638">
        <f>SUM(I43:I53)</f>
        <v>0</v>
      </c>
      <c r="J42" s="638">
        <f>SUM(J43:J55)</f>
        <v>16362.479999999998</v>
      </c>
      <c r="K42" s="638">
        <f>SUM(K43:K55)</f>
        <v>0</v>
      </c>
      <c r="L42" s="638">
        <f>SUM(L43:L55)</f>
        <v>219626.47999999998</v>
      </c>
      <c r="M42" s="626"/>
      <c r="N42" s="626"/>
      <c r="O42" s="626"/>
      <c r="P42" s="626"/>
      <c r="Q42" s="626"/>
      <c r="R42" s="627"/>
      <c r="S42" s="627"/>
      <c r="T42" s="627"/>
      <c r="U42" s="627"/>
      <c r="V42" s="627"/>
      <c r="W42" s="628"/>
      <c r="X42" s="628"/>
      <c r="Y42" s="628"/>
      <c r="Z42" s="628"/>
      <c r="AA42" s="629"/>
    </row>
    <row r="43" spans="1:27" ht="43.5" hidden="1" customHeight="1" outlineLevel="1" x14ac:dyDescent="0.2">
      <c r="A43" s="495"/>
      <c r="B43" s="509">
        <v>23</v>
      </c>
      <c r="C43" s="602" t="s">
        <v>326</v>
      </c>
      <c r="D43" s="632" t="s">
        <v>405</v>
      </c>
      <c r="E43" s="605">
        <f>1400*8</f>
        <v>11200</v>
      </c>
      <c r="F43" s="606">
        <f t="shared" si="7"/>
        <v>10090.090090090089</v>
      </c>
      <c r="G43" s="608" t="s">
        <v>333</v>
      </c>
      <c r="H43" s="605">
        <f t="shared" si="8"/>
        <v>11200</v>
      </c>
      <c r="I43" s="605">
        <v>0</v>
      </c>
      <c r="J43" s="605">
        <f t="shared" si="0"/>
        <v>1344</v>
      </c>
      <c r="K43" s="605">
        <v>0</v>
      </c>
      <c r="L43" s="605">
        <f t="shared" si="1"/>
        <v>12544</v>
      </c>
      <c r="M43" s="608" t="s">
        <v>271</v>
      </c>
      <c r="N43" s="608" t="s">
        <v>273</v>
      </c>
      <c r="O43" s="608" t="s">
        <v>299</v>
      </c>
      <c r="P43" s="608" t="s">
        <v>303</v>
      </c>
      <c r="Q43" s="608" t="s">
        <v>241</v>
      </c>
      <c r="R43" s="609">
        <f t="shared" si="3"/>
        <v>0.8928571428571429</v>
      </c>
      <c r="S43" s="609">
        <v>0</v>
      </c>
      <c r="T43" s="609">
        <f t="shared" si="4"/>
        <v>0.10714285714285714</v>
      </c>
      <c r="U43" s="609">
        <v>0</v>
      </c>
      <c r="V43" s="609">
        <f t="shared" si="5"/>
        <v>1</v>
      </c>
      <c r="W43" s="617" t="s">
        <v>397</v>
      </c>
      <c r="X43" s="610">
        <v>43752</v>
      </c>
      <c r="Y43" s="610">
        <v>43770</v>
      </c>
      <c r="Z43" s="610" t="s">
        <v>324</v>
      </c>
      <c r="AA43" s="636" t="s">
        <v>471</v>
      </c>
    </row>
    <row r="44" spans="1:27" ht="43.5" hidden="1" customHeight="1" outlineLevel="1" x14ac:dyDescent="0.2">
      <c r="A44" s="495"/>
      <c r="B44" s="509">
        <v>24</v>
      </c>
      <c r="C44" s="602" t="s">
        <v>326</v>
      </c>
      <c r="D44" s="632" t="s">
        <v>287</v>
      </c>
      <c r="E44" s="605">
        <v>11000</v>
      </c>
      <c r="F44" s="606">
        <f t="shared" si="7"/>
        <v>9909.9099099099094</v>
      </c>
      <c r="G44" s="608" t="s">
        <v>333</v>
      </c>
      <c r="H44" s="605">
        <f t="shared" si="8"/>
        <v>11000</v>
      </c>
      <c r="I44" s="605">
        <v>0</v>
      </c>
      <c r="J44" s="605">
        <f t="shared" si="0"/>
        <v>1320</v>
      </c>
      <c r="K44" s="605">
        <v>0</v>
      </c>
      <c r="L44" s="605">
        <f t="shared" si="1"/>
        <v>12320</v>
      </c>
      <c r="M44" s="608" t="s">
        <v>271</v>
      </c>
      <c r="N44" s="608" t="s">
        <v>273</v>
      </c>
      <c r="O44" s="608" t="s">
        <v>299</v>
      </c>
      <c r="P44" s="608" t="s">
        <v>303</v>
      </c>
      <c r="Q44" s="608" t="s">
        <v>241</v>
      </c>
      <c r="R44" s="609">
        <f t="shared" si="3"/>
        <v>0.8928571428571429</v>
      </c>
      <c r="S44" s="609">
        <v>0</v>
      </c>
      <c r="T44" s="609">
        <f t="shared" si="4"/>
        <v>0.10714285714285714</v>
      </c>
      <c r="U44" s="609">
        <v>0</v>
      </c>
      <c r="V44" s="609">
        <f t="shared" si="5"/>
        <v>1</v>
      </c>
      <c r="W44" s="617" t="s">
        <v>397</v>
      </c>
      <c r="X44" s="610">
        <v>43752</v>
      </c>
      <c r="Y44" s="610">
        <v>43770</v>
      </c>
      <c r="Z44" s="610" t="s">
        <v>324</v>
      </c>
      <c r="AA44" s="636" t="s">
        <v>472</v>
      </c>
    </row>
    <row r="45" spans="1:27" ht="31.5" hidden="1" customHeight="1" outlineLevel="1" x14ac:dyDescent="0.2">
      <c r="A45" s="495"/>
      <c r="B45" s="509">
        <v>25</v>
      </c>
      <c r="C45" s="602" t="s">
        <v>326</v>
      </c>
      <c r="D45" s="632" t="s">
        <v>316</v>
      </c>
      <c r="E45" s="605">
        <v>6000</v>
      </c>
      <c r="F45" s="606">
        <f t="shared" si="7"/>
        <v>5405.405405405405</v>
      </c>
      <c r="G45" s="608" t="s">
        <v>334</v>
      </c>
      <c r="H45" s="605">
        <f t="shared" si="8"/>
        <v>6000</v>
      </c>
      <c r="I45" s="605">
        <v>0</v>
      </c>
      <c r="J45" s="605">
        <f t="shared" si="0"/>
        <v>720</v>
      </c>
      <c r="K45" s="605">
        <v>0</v>
      </c>
      <c r="L45" s="605">
        <f t="shared" si="1"/>
        <v>6720</v>
      </c>
      <c r="M45" s="608" t="s">
        <v>271</v>
      </c>
      <c r="N45" s="608" t="s">
        <v>273</v>
      </c>
      <c r="O45" s="608" t="s">
        <v>299</v>
      </c>
      <c r="P45" s="608" t="s">
        <v>303</v>
      </c>
      <c r="Q45" s="608" t="s">
        <v>241</v>
      </c>
      <c r="R45" s="609">
        <f t="shared" si="3"/>
        <v>0.8928571428571429</v>
      </c>
      <c r="S45" s="609">
        <v>0</v>
      </c>
      <c r="T45" s="609">
        <f t="shared" si="4"/>
        <v>0.10714285714285714</v>
      </c>
      <c r="U45" s="609">
        <v>0</v>
      </c>
      <c r="V45" s="609">
        <f t="shared" si="5"/>
        <v>1</v>
      </c>
      <c r="W45" s="617" t="s">
        <v>397</v>
      </c>
      <c r="X45" s="610">
        <v>43752</v>
      </c>
      <c r="Y45" s="610">
        <v>43770</v>
      </c>
      <c r="Z45" s="610" t="s">
        <v>324</v>
      </c>
      <c r="AA45" s="636" t="s">
        <v>473</v>
      </c>
    </row>
    <row r="46" spans="1:27" ht="37.5" hidden="1" customHeight="1" outlineLevel="1" x14ac:dyDescent="0.2">
      <c r="A46" s="495"/>
      <c r="B46" s="509">
        <v>26</v>
      </c>
      <c r="C46" s="602" t="s">
        <v>326</v>
      </c>
      <c r="D46" s="632" t="s">
        <v>355</v>
      </c>
      <c r="E46" s="605">
        <v>8490</v>
      </c>
      <c r="F46" s="606">
        <f t="shared" si="7"/>
        <v>7648.6486486486483</v>
      </c>
      <c r="G46" s="608" t="s">
        <v>336</v>
      </c>
      <c r="H46" s="605">
        <f t="shared" si="8"/>
        <v>8490</v>
      </c>
      <c r="I46" s="605">
        <v>0</v>
      </c>
      <c r="J46" s="605">
        <f t="shared" si="0"/>
        <v>1018.8</v>
      </c>
      <c r="K46" s="605">
        <v>0</v>
      </c>
      <c r="L46" s="605">
        <f t="shared" si="1"/>
        <v>9508.7999999999993</v>
      </c>
      <c r="M46" s="608" t="s">
        <v>271</v>
      </c>
      <c r="N46" s="608" t="s">
        <v>273</v>
      </c>
      <c r="O46" s="608" t="s">
        <v>299</v>
      </c>
      <c r="P46" s="608" t="s">
        <v>303</v>
      </c>
      <c r="Q46" s="608" t="s">
        <v>241</v>
      </c>
      <c r="R46" s="609">
        <f t="shared" si="3"/>
        <v>0.8928571428571429</v>
      </c>
      <c r="S46" s="609">
        <v>0</v>
      </c>
      <c r="T46" s="609">
        <f t="shared" si="4"/>
        <v>0.10714285714285715</v>
      </c>
      <c r="U46" s="609">
        <v>0</v>
      </c>
      <c r="V46" s="609">
        <f t="shared" si="5"/>
        <v>1</v>
      </c>
      <c r="W46" s="617" t="s">
        <v>397</v>
      </c>
      <c r="X46" s="610">
        <v>43752</v>
      </c>
      <c r="Y46" s="610">
        <v>44317</v>
      </c>
      <c r="Z46" s="636" t="s">
        <v>324</v>
      </c>
      <c r="AA46" s="636" t="s">
        <v>422</v>
      </c>
    </row>
    <row r="47" spans="1:27" ht="30" hidden="1" customHeight="1" outlineLevel="1" x14ac:dyDescent="0.2">
      <c r="A47" s="495"/>
      <c r="B47" s="509">
        <v>27</v>
      </c>
      <c r="C47" s="602" t="s">
        <v>326</v>
      </c>
      <c r="D47" s="632" t="s">
        <v>317</v>
      </c>
      <c r="E47" s="605">
        <v>45000</v>
      </c>
      <c r="F47" s="606">
        <f t="shared" si="7"/>
        <v>40540.54054054054</v>
      </c>
      <c r="G47" s="608" t="s">
        <v>335</v>
      </c>
      <c r="H47" s="605">
        <f t="shared" si="8"/>
        <v>45000</v>
      </c>
      <c r="I47" s="605">
        <v>0</v>
      </c>
      <c r="J47" s="605">
        <f t="shared" si="0"/>
        <v>5400</v>
      </c>
      <c r="K47" s="605">
        <v>0</v>
      </c>
      <c r="L47" s="605">
        <f t="shared" si="1"/>
        <v>50400</v>
      </c>
      <c r="M47" s="608" t="s">
        <v>271</v>
      </c>
      <c r="N47" s="608" t="s">
        <v>273</v>
      </c>
      <c r="O47" s="608" t="s">
        <v>354</v>
      </c>
      <c r="P47" s="608" t="s">
        <v>303</v>
      </c>
      <c r="Q47" s="608" t="s">
        <v>241</v>
      </c>
      <c r="R47" s="609">
        <f t="shared" si="3"/>
        <v>0.8928571428571429</v>
      </c>
      <c r="S47" s="609">
        <v>0</v>
      </c>
      <c r="T47" s="609">
        <f t="shared" si="4"/>
        <v>0.10714285714285714</v>
      </c>
      <c r="U47" s="609">
        <v>0</v>
      </c>
      <c r="V47" s="609">
        <f t="shared" si="5"/>
        <v>1</v>
      </c>
      <c r="W47" s="617" t="s">
        <v>397</v>
      </c>
      <c r="X47" s="610">
        <v>43948</v>
      </c>
      <c r="Y47" s="610">
        <v>43928</v>
      </c>
      <c r="Z47" s="610" t="s">
        <v>330</v>
      </c>
      <c r="AA47" s="636" t="s">
        <v>474</v>
      </c>
    </row>
    <row r="48" spans="1:27" ht="68.25" customHeight="1" outlineLevel="1" x14ac:dyDescent="0.2">
      <c r="A48" s="495"/>
      <c r="B48" s="509">
        <v>28</v>
      </c>
      <c r="C48" s="602" t="s">
        <v>326</v>
      </c>
      <c r="D48" s="655" t="s">
        <v>495</v>
      </c>
      <c r="E48" s="605">
        <v>66910</v>
      </c>
      <c r="F48" s="606">
        <f>+E48/1.11</f>
        <v>60279.279279279275</v>
      </c>
      <c r="G48" s="608" t="s">
        <v>479</v>
      </c>
      <c r="H48" s="605">
        <f>+E48</f>
        <v>66910</v>
      </c>
      <c r="I48" s="605">
        <v>0</v>
      </c>
      <c r="J48" s="605">
        <v>0</v>
      </c>
      <c r="K48" s="605">
        <v>0</v>
      </c>
      <c r="L48" s="605">
        <f t="shared" si="1"/>
        <v>66910</v>
      </c>
      <c r="M48" s="608" t="s">
        <v>305</v>
      </c>
      <c r="N48" s="608" t="s">
        <v>273</v>
      </c>
      <c r="O48" s="608" t="s">
        <v>357</v>
      </c>
      <c r="P48" s="608" t="s">
        <v>273</v>
      </c>
      <c r="Q48" s="608" t="s">
        <v>241</v>
      </c>
      <c r="R48" s="609">
        <v>1</v>
      </c>
      <c r="S48" s="609">
        <v>0</v>
      </c>
      <c r="T48" s="609">
        <v>0</v>
      </c>
      <c r="U48" s="609">
        <v>0</v>
      </c>
      <c r="V48" s="609">
        <f t="shared" si="5"/>
        <v>1</v>
      </c>
      <c r="W48" s="617" t="s">
        <v>397</v>
      </c>
      <c r="X48" s="610">
        <v>43799</v>
      </c>
      <c r="Y48" s="610">
        <v>44378</v>
      </c>
      <c r="Z48" s="636" t="s">
        <v>356</v>
      </c>
      <c r="AA48" s="640" t="s">
        <v>494</v>
      </c>
    </row>
    <row r="49" spans="1:27" ht="42.75" hidden="1" customHeight="1" outlineLevel="1" x14ac:dyDescent="0.2">
      <c r="A49" s="495"/>
      <c r="B49" s="509">
        <v>29</v>
      </c>
      <c r="C49" s="602" t="s">
        <v>326</v>
      </c>
      <c r="D49" s="632" t="s">
        <v>319</v>
      </c>
      <c r="E49" s="605">
        <v>15540</v>
      </c>
      <c r="F49" s="606">
        <f>+E49/1.11</f>
        <v>13999.999999999998</v>
      </c>
      <c r="G49" s="608" t="s">
        <v>339</v>
      </c>
      <c r="H49" s="605">
        <f>+E49</f>
        <v>15540</v>
      </c>
      <c r="I49" s="605">
        <v>0</v>
      </c>
      <c r="J49" s="605">
        <f>+H49*0.12</f>
        <v>1864.8</v>
      </c>
      <c r="K49" s="605">
        <v>0</v>
      </c>
      <c r="L49" s="605">
        <f>+H49+J49</f>
        <v>17404.8</v>
      </c>
      <c r="M49" s="608" t="s">
        <v>305</v>
      </c>
      <c r="N49" s="608" t="s">
        <v>273</v>
      </c>
      <c r="O49" s="608" t="s">
        <v>299</v>
      </c>
      <c r="P49" s="608" t="s">
        <v>303</v>
      </c>
      <c r="Q49" s="608" t="s">
        <v>241</v>
      </c>
      <c r="R49" s="609">
        <f>+H49/L49</f>
        <v>0.8928571428571429</v>
      </c>
      <c r="S49" s="609">
        <v>0</v>
      </c>
      <c r="T49" s="609">
        <f>+J49/L49</f>
        <v>0.10714285714285715</v>
      </c>
      <c r="U49" s="609">
        <v>0</v>
      </c>
      <c r="V49" s="609">
        <f>+R49+T49</f>
        <v>1</v>
      </c>
      <c r="W49" s="617" t="s">
        <v>397</v>
      </c>
      <c r="X49" s="610">
        <v>43717</v>
      </c>
      <c r="Y49" s="610">
        <v>43616</v>
      </c>
      <c r="Z49" s="636" t="s">
        <v>330</v>
      </c>
      <c r="AA49" s="636" t="s">
        <v>451</v>
      </c>
    </row>
    <row r="50" spans="1:27" ht="111" hidden="1" customHeight="1" outlineLevel="1" x14ac:dyDescent="0.2">
      <c r="A50" s="495"/>
      <c r="B50" s="509">
        <v>30</v>
      </c>
      <c r="C50" s="602" t="s">
        <v>326</v>
      </c>
      <c r="D50" s="632" t="s">
        <v>364</v>
      </c>
      <c r="E50" s="605">
        <v>14500</v>
      </c>
      <c r="F50" s="606">
        <f t="shared" si="7"/>
        <v>13063.063063063062</v>
      </c>
      <c r="G50" s="608" t="s">
        <v>461</v>
      </c>
      <c r="H50" s="605">
        <f t="shared" si="8"/>
        <v>14500</v>
      </c>
      <c r="I50" s="605">
        <v>0</v>
      </c>
      <c r="J50" s="605">
        <f t="shared" ref="J50:J51" si="19">+H50*0.12</f>
        <v>1740</v>
      </c>
      <c r="K50" s="605">
        <v>0</v>
      </c>
      <c r="L50" s="605">
        <f t="shared" ref="L50:L51" si="20">+H50+J50</f>
        <v>16240</v>
      </c>
      <c r="M50" s="608" t="s">
        <v>271</v>
      </c>
      <c r="N50" s="608" t="s">
        <v>273</v>
      </c>
      <c r="O50" s="608" t="s">
        <v>299</v>
      </c>
      <c r="P50" s="608" t="s">
        <v>303</v>
      </c>
      <c r="Q50" s="608" t="s">
        <v>241</v>
      </c>
      <c r="R50" s="609">
        <f t="shared" ref="R50:R51" si="21">+H50/L50</f>
        <v>0.8928571428571429</v>
      </c>
      <c r="S50" s="609">
        <v>0</v>
      </c>
      <c r="T50" s="609">
        <f t="shared" ref="T50:T51" si="22">+J50/L50</f>
        <v>0.10714285714285714</v>
      </c>
      <c r="U50" s="609">
        <v>0</v>
      </c>
      <c r="V50" s="609">
        <f t="shared" ref="V50:V51" si="23">+R50+T50</f>
        <v>1</v>
      </c>
      <c r="W50" s="617" t="s">
        <v>397</v>
      </c>
      <c r="X50" s="610">
        <v>43922</v>
      </c>
      <c r="Y50" s="610">
        <v>44348</v>
      </c>
      <c r="Z50" s="636" t="s">
        <v>330</v>
      </c>
      <c r="AA50" s="646" t="s">
        <v>452</v>
      </c>
    </row>
    <row r="51" spans="1:27" ht="57.75" hidden="1" customHeight="1" outlineLevel="1" x14ac:dyDescent="0.2">
      <c r="A51" s="495"/>
      <c r="B51" s="509">
        <v>31</v>
      </c>
      <c r="C51" s="602" t="s">
        <v>326</v>
      </c>
      <c r="D51" s="632" t="s">
        <v>351</v>
      </c>
      <c r="E51" s="633">
        <v>5824</v>
      </c>
      <c r="F51" s="606">
        <f t="shared" si="7"/>
        <v>5246.8468468468463</v>
      </c>
      <c r="G51" s="608" t="s">
        <v>337</v>
      </c>
      <c r="H51" s="605">
        <f t="shared" si="8"/>
        <v>5824</v>
      </c>
      <c r="I51" s="605">
        <v>0</v>
      </c>
      <c r="J51" s="605">
        <f t="shared" si="19"/>
        <v>698.88</v>
      </c>
      <c r="K51" s="605">
        <v>0</v>
      </c>
      <c r="L51" s="605">
        <f t="shared" si="20"/>
        <v>6522.88</v>
      </c>
      <c r="M51" s="608" t="s">
        <v>305</v>
      </c>
      <c r="N51" s="608" t="s">
        <v>273</v>
      </c>
      <c r="O51" s="608" t="s">
        <v>299</v>
      </c>
      <c r="P51" s="608" t="s">
        <v>303</v>
      </c>
      <c r="Q51" s="608" t="s">
        <v>241</v>
      </c>
      <c r="R51" s="609">
        <f t="shared" si="21"/>
        <v>0.89285714285714279</v>
      </c>
      <c r="S51" s="609">
        <v>0</v>
      </c>
      <c r="T51" s="609">
        <f t="shared" si="22"/>
        <v>0.10714285714285714</v>
      </c>
      <c r="U51" s="609">
        <v>0</v>
      </c>
      <c r="V51" s="609">
        <f t="shared" si="23"/>
        <v>0.99999999999999989</v>
      </c>
      <c r="W51" s="617" t="s">
        <v>397</v>
      </c>
      <c r="X51" s="610">
        <v>43594</v>
      </c>
      <c r="Y51" s="610">
        <v>43597</v>
      </c>
      <c r="Z51" s="636" t="s">
        <v>395</v>
      </c>
      <c r="AA51" s="636"/>
    </row>
    <row r="52" spans="1:27" ht="87" hidden="1" customHeight="1" outlineLevel="1" x14ac:dyDescent="0.2">
      <c r="A52" s="495"/>
      <c r="B52" s="509">
        <v>32</v>
      </c>
      <c r="C52" s="602" t="s">
        <v>326</v>
      </c>
      <c r="D52" s="632" t="s">
        <v>477</v>
      </c>
      <c r="E52" s="605">
        <v>6000</v>
      </c>
      <c r="F52" s="606">
        <f t="shared" si="7"/>
        <v>5405.405405405405</v>
      </c>
      <c r="G52" s="608" t="s">
        <v>337</v>
      </c>
      <c r="H52" s="605">
        <f t="shared" si="8"/>
        <v>6000</v>
      </c>
      <c r="I52" s="605">
        <v>0</v>
      </c>
      <c r="J52" s="605">
        <f t="shared" si="0"/>
        <v>720</v>
      </c>
      <c r="K52" s="605">
        <v>0</v>
      </c>
      <c r="L52" s="605">
        <f t="shared" si="1"/>
        <v>6720</v>
      </c>
      <c r="M52" s="608" t="s">
        <v>305</v>
      </c>
      <c r="N52" s="608" t="s">
        <v>273</v>
      </c>
      <c r="O52" s="608" t="s">
        <v>299</v>
      </c>
      <c r="P52" s="608" t="s">
        <v>303</v>
      </c>
      <c r="Q52" s="608" t="s">
        <v>241</v>
      </c>
      <c r="R52" s="609">
        <f t="shared" si="3"/>
        <v>0.8928571428571429</v>
      </c>
      <c r="S52" s="609">
        <v>0</v>
      </c>
      <c r="T52" s="609">
        <f t="shared" si="4"/>
        <v>0.10714285714285714</v>
      </c>
      <c r="U52" s="609">
        <v>0</v>
      </c>
      <c r="V52" s="609">
        <f t="shared" si="5"/>
        <v>1</v>
      </c>
      <c r="W52" s="617" t="s">
        <v>397</v>
      </c>
      <c r="X52" s="610">
        <v>43777</v>
      </c>
      <c r="Y52" s="610">
        <v>43779</v>
      </c>
      <c r="Z52" s="636" t="s">
        <v>395</v>
      </c>
      <c r="AA52" s="636" t="s">
        <v>482</v>
      </c>
    </row>
    <row r="53" spans="1:27" ht="86.25" hidden="1" customHeight="1" outlineLevel="1" x14ac:dyDescent="0.2">
      <c r="A53" s="495"/>
      <c r="B53" s="509">
        <v>33</v>
      </c>
      <c r="C53" s="602" t="s">
        <v>326</v>
      </c>
      <c r="D53" s="632" t="s">
        <v>321</v>
      </c>
      <c r="E53" s="605">
        <v>6000</v>
      </c>
      <c r="F53" s="606">
        <f t="shared" si="7"/>
        <v>5405.405405405405</v>
      </c>
      <c r="G53" s="608" t="s">
        <v>337</v>
      </c>
      <c r="H53" s="605">
        <f t="shared" si="8"/>
        <v>6000</v>
      </c>
      <c r="I53" s="605">
        <v>0</v>
      </c>
      <c r="J53" s="605">
        <f t="shared" si="0"/>
        <v>720</v>
      </c>
      <c r="K53" s="605">
        <v>0</v>
      </c>
      <c r="L53" s="605">
        <f t="shared" si="1"/>
        <v>6720</v>
      </c>
      <c r="M53" s="608" t="s">
        <v>305</v>
      </c>
      <c r="N53" s="608" t="s">
        <v>273</v>
      </c>
      <c r="O53" s="608" t="s">
        <v>299</v>
      </c>
      <c r="P53" s="608" t="s">
        <v>303</v>
      </c>
      <c r="Q53" s="608" t="s">
        <v>241</v>
      </c>
      <c r="R53" s="609">
        <f t="shared" si="3"/>
        <v>0.8928571428571429</v>
      </c>
      <c r="S53" s="609">
        <v>0</v>
      </c>
      <c r="T53" s="609">
        <f t="shared" si="4"/>
        <v>0.10714285714285714</v>
      </c>
      <c r="U53" s="609">
        <v>0</v>
      </c>
      <c r="V53" s="609">
        <f t="shared" si="5"/>
        <v>1</v>
      </c>
      <c r="W53" s="617" t="s">
        <v>397</v>
      </c>
      <c r="X53" s="610">
        <v>43777</v>
      </c>
      <c r="Y53" s="610">
        <v>43779</v>
      </c>
      <c r="Z53" s="636" t="s">
        <v>395</v>
      </c>
      <c r="AA53" s="636" t="s">
        <v>482</v>
      </c>
    </row>
    <row r="54" spans="1:27" ht="59.25" customHeight="1" outlineLevel="1" x14ac:dyDescent="0.2">
      <c r="A54" s="495"/>
      <c r="B54" s="509">
        <v>34</v>
      </c>
      <c r="C54" s="602" t="s">
        <v>326</v>
      </c>
      <c r="D54" s="655" t="s">
        <v>487</v>
      </c>
      <c r="E54" s="605">
        <v>2000</v>
      </c>
      <c r="F54" s="606">
        <f t="shared" si="7"/>
        <v>1801.8018018018017</v>
      </c>
      <c r="G54" s="608" t="s">
        <v>480</v>
      </c>
      <c r="H54" s="605">
        <f t="shared" si="8"/>
        <v>2000</v>
      </c>
      <c r="I54" s="605">
        <v>0</v>
      </c>
      <c r="J54" s="605">
        <f t="shared" si="0"/>
        <v>240</v>
      </c>
      <c r="K54" s="605">
        <v>0</v>
      </c>
      <c r="L54" s="605">
        <f t="shared" si="1"/>
        <v>2240</v>
      </c>
      <c r="M54" s="608" t="s">
        <v>271</v>
      </c>
      <c r="N54" s="608" t="s">
        <v>273</v>
      </c>
      <c r="O54" s="608" t="s">
        <v>299</v>
      </c>
      <c r="P54" s="608" t="s">
        <v>303</v>
      </c>
      <c r="Q54" s="608" t="s">
        <v>241</v>
      </c>
      <c r="R54" s="609">
        <f t="shared" si="3"/>
        <v>0.8928571428571429</v>
      </c>
      <c r="S54" s="609">
        <v>0</v>
      </c>
      <c r="T54" s="609">
        <f t="shared" si="4"/>
        <v>0.10714285714285714</v>
      </c>
      <c r="U54" s="609">
        <v>0</v>
      </c>
      <c r="V54" s="609">
        <f t="shared" si="5"/>
        <v>1</v>
      </c>
      <c r="W54" s="617" t="s">
        <v>397</v>
      </c>
      <c r="X54" s="610">
        <v>43891</v>
      </c>
      <c r="Y54" s="610">
        <v>43952</v>
      </c>
      <c r="Z54" s="610" t="s">
        <v>330</v>
      </c>
      <c r="AA54" s="636" t="s">
        <v>497</v>
      </c>
    </row>
    <row r="55" spans="1:27" ht="59.25" customHeight="1" outlineLevel="1" x14ac:dyDescent="0.2">
      <c r="A55" s="495"/>
      <c r="B55" s="509">
        <v>35</v>
      </c>
      <c r="C55" s="602" t="s">
        <v>326</v>
      </c>
      <c r="D55" s="655" t="s">
        <v>486</v>
      </c>
      <c r="E55" s="605">
        <v>4800</v>
      </c>
      <c r="F55" s="606">
        <f t="shared" si="7"/>
        <v>4324.3243243243242</v>
      </c>
      <c r="G55" s="608" t="s">
        <v>483</v>
      </c>
      <c r="H55" s="605">
        <f t="shared" si="8"/>
        <v>4800</v>
      </c>
      <c r="I55" s="605">
        <v>0</v>
      </c>
      <c r="J55" s="605">
        <f t="shared" si="0"/>
        <v>576</v>
      </c>
      <c r="K55" s="605">
        <v>0</v>
      </c>
      <c r="L55" s="605">
        <f t="shared" si="1"/>
        <v>5376</v>
      </c>
      <c r="M55" s="608" t="s">
        <v>305</v>
      </c>
      <c r="N55" s="608" t="s">
        <v>273</v>
      </c>
      <c r="O55" s="608" t="s">
        <v>299</v>
      </c>
      <c r="P55" s="608" t="s">
        <v>303</v>
      </c>
      <c r="Q55" s="608" t="s">
        <v>241</v>
      </c>
      <c r="R55" s="609">
        <f t="shared" si="3"/>
        <v>0.8928571428571429</v>
      </c>
      <c r="S55" s="609">
        <v>0</v>
      </c>
      <c r="T55" s="609">
        <f t="shared" si="4"/>
        <v>0.10714285714285714</v>
      </c>
      <c r="U55" s="609">
        <v>0</v>
      </c>
      <c r="V55" s="609">
        <f t="shared" si="5"/>
        <v>1</v>
      </c>
      <c r="W55" s="617" t="s">
        <v>397</v>
      </c>
      <c r="X55" s="610">
        <v>43862</v>
      </c>
      <c r="Y55" s="610">
        <v>44501</v>
      </c>
      <c r="Z55" s="636" t="s">
        <v>324</v>
      </c>
      <c r="AA55" s="636" t="s">
        <v>496</v>
      </c>
    </row>
    <row r="56" spans="1:27" ht="37.5" hidden="1" customHeight="1" x14ac:dyDescent="0.2">
      <c r="A56" s="495"/>
      <c r="B56" s="511"/>
      <c r="C56" s="512" t="s">
        <v>328</v>
      </c>
      <c r="D56" s="518" t="s">
        <v>443</v>
      </c>
      <c r="E56" s="557">
        <f>SUM(E57:E58)</f>
        <v>122100</v>
      </c>
      <c r="F56" s="559">
        <f>SUM(F57:F58)</f>
        <v>109999.99999999999</v>
      </c>
      <c r="G56" s="514"/>
      <c r="H56" s="557">
        <f t="shared" ref="H56:L56" si="24">SUM(H57:H58)</f>
        <v>122100</v>
      </c>
      <c r="I56" s="557">
        <f t="shared" si="24"/>
        <v>0</v>
      </c>
      <c r="J56" s="557">
        <f t="shared" si="24"/>
        <v>14652</v>
      </c>
      <c r="K56" s="557">
        <f t="shared" si="24"/>
        <v>0</v>
      </c>
      <c r="L56" s="557">
        <f t="shared" si="24"/>
        <v>136752</v>
      </c>
      <c r="M56" s="514"/>
      <c r="N56" s="514"/>
      <c r="O56" s="514"/>
      <c r="P56" s="514"/>
      <c r="Q56" s="514"/>
      <c r="R56" s="573"/>
      <c r="S56" s="573"/>
      <c r="T56" s="573"/>
      <c r="U56" s="573"/>
      <c r="V56" s="573"/>
      <c r="W56" s="514"/>
      <c r="X56" s="515"/>
      <c r="Y56" s="515"/>
      <c r="Z56" s="516"/>
      <c r="AA56" s="516"/>
    </row>
    <row r="57" spans="1:27" ht="62.25" hidden="1" customHeight="1" outlineLevel="2" x14ac:dyDescent="0.2">
      <c r="A57" s="495"/>
      <c r="B57" s="602">
        <v>36</v>
      </c>
      <c r="C57" s="603" t="s">
        <v>328</v>
      </c>
      <c r="D57" s="632" t="s">
        <v>308</v>
      </c>
      <c r="E57" s="605">
        <v>110000</v>
      </c>
      <c r="F57" s="606">
        <f>+E57/1.11</f>
        <v>99099.099099099083</v>
      </c>
      <c r="G57" s="608" t="s">
        <v>332</v>
      </c>
      <c r="H57" s="605">
        <f>+E57</f>
        <v>110000</v>
      </c>
      <c r="I57" s="605">
        <v>0</v>
      </c>
      <c r="J57" s="605">
        <f>+H57*0.12</f>
        <v>13200</v>
      </c>
      <c r="K57" s="605">
        <v>0</v>
      </c>
      <c r="L57" s="605">
        <f>+H57+J57</f>
        <v>123200</v>
      </c>
      <c r="M57" s="608" t="s">
        <v>305</v>
      </c>
      <c r="N57" s="608" t="s">
        <v>295</v>
      </c>
      <c r="O57" s="608" t="s">
        <v>307</v>
      </c>
      <c r="P57" s="608" t="s">
        <v>303</v>
      </c>
      <c r="Q57" s="608" t="s">
        <v>233</v>
      </c>
      <c r="R57" s="609">
        <f>+H57/L57</f>
        <v>0.8928571428571429</v>
      </c>
      <c r="S57" s="609">
        <v>0</v>
      </c>
      <c r="T57" s="609">
        <f>+J57/L57</f>
        <v>0.10714285714285714</v>
      </c>
      <c r="U57" s="609">
        <v>0</v>
      </c>
      <c r="V57" s="609">
        <f>+R57+T57</f>
        <v>1</v>
      </c>
      <c r="W57" s="617" t="s">
        <v>397</v>
      </c>
      <c r="X57" s="610">
        <v>43906</v>
      </c>
      <c r="Y57" s="610">
        <v>44428</v>
      </c>
      <c r="Z57" s="636" t="s">
        <v>330</v>
      </c>
      <c r="AA57" s="636" t="s">
        <v>475</v>
      </c>
    </row>
    <row r="58" spans="1:27" ht="49.5" hidden="1" customHeight="1" outlineLevel="2" x14ac:dyDescent="0.2">
      <c r="A58" s="495"/>
      <c r="B58" s="603">
        <v>37</v>
      </c>
      <c r="C58" s="603" t="s">
        <v>362</v>
      </c>
      <c r="D58" s="632" t="s">
        <v>418</v>
      </c>
      <c r="E58" s="605">
        <v>12100</v>
      </c>
      <c r="F58" s="606">
        <f>+E58/1.11</f>
        <v>10900.900900900901</v>
      </c>
      <c r="G58" s="608"/>
      <c r="H58" s="605">
        <f>+E58</f>
        <v>12100</v>
      </c>
      <c r="I58" s="605">
        <v>0</v>
      </c>
      <c r="J58" s="605">
        <f>+H58*0.12</f>
        <v>1452</v>
      </c>
      <c r="K58" s="605">
        <v>0</v>
      </c>
      <c r="L58" s="605">
        <f>+H58+J58</f>
        <v>13552</v>
      </c>
      <c r="M58" s="608" t="s">
        <v>305</v>
      </c>
      <c r="N58" s="608" t="s">
        <v>397</v>
      </c>
      <c r="O58" s="608" t="s">
        <v>299</v>
      </c>
      <c r="P58" s="608" t="s">
        <v>303</v>
      </c>
      <c r="Q58" s="608" t="s">
        <v>233</v>
      </c>
      <c r="R58" s="609">
        <f>+H58/L58</f>
        <v>0.8928571428571429</v>
      </c>
      <c r="S58" s="609"/>
      <c r="T58" s="609">
        <f>+J58/L58</f>
        <v>0.10714285714285714</v>
      </c>
      <c r="U58" s="609"/>
      <c r="V58" s="609">
        <f>+R58+T58</f>
        <v>1</v>
      </c>
      <c r="W58" s="617" t="s">
        <v>397</v>
      </c>
      <c r="X58" s="610">
        <v>43952</v>
      </c>
      <c r="Y58" s="610">
        <v>44378</v>
      </c>
      <c r="Z58" s="636" t="s">
        <v>429</v>
      </c>
      <c r="AA58" s="636" t="s">
        <v>476</v>
      </c>
    </row>
    <row r="59" spans="1:27" ht="30.75" hidden="1" customHeight="1" x14ac:dyDescent="0.2">
      <c r="A59" s="495"/>
      <c r="B59" s="511"/>
      <c r="C59" s="512" t="s">
        <v>329</v>
      </c>
      <c r="D59" s="518" t="s">
        <v>460</v>
      </c>
      <c r="E59" s="557">
        <f>SUM(E60:E61)</f>
        <v>77700</v>
      </c>
      <c r="F59" s="559">
        <f>SUM(F60:F61)</f>
        <v>70000</v>
      </c>
      <c r="G59" s="514"/>
      <c r="H59" s="557">
        <f>SUM(H60:H61)</f>
        <v>77700</v>
      </c>
      <c r="I59" s="557">
        <f>SUM(I60:I61)</f>
        <v>0</v>
      </c>
      <c r="J59" s="557">
        <f>SUM(J60:J61)</f>
        <v>9324</v>
      </c>
      <c r="K59" s="557">
        <f>SUM(K60:K61)</f>
        <v>0</v>
      </c>
      <c r="L59" s="557">
        <f>SUM(L60:L61)</f>
        <v>87024</v>
      </c>
      <c r="M59" s="514"/>
      <c r="N59" s="514"/>
      <c r="O59" s="514"/>
      <c r="P59" s="514"/>
      <c r="Q59" s="514"/>
      <c r="R59" s="573"/>
      <c r="S59" s="573"/>
      <c r="T59" s="573"/>
      <c r="U59" s="573"/>
      <c r="V59" s="573"/>
      <c r="W59" s="514"/>
      <c r="X59" s="515"/>
      <c r="Y59" s="515"/>
      <c r="Z59" s="516"/>
      <c r="AA59" s="516"/>
    </row>
    <row r="60" spans="1:27" ht="49.5" hidden="1" customHeight="1" outlineLevel="1" x14ac:dyDescent="0.2">
      <c r="A60" s="495"/>
      <c r="B60" s="611">
        <v>38</v>
      </c>
      <c r="C60" s="641" t="s">
        <v>329</v>
      </c>
      <c r="D60" s="642" t="s">
        <v>353</v>
      </c>
      <c r="E60" s="605">
        <v>12000</v>
      </c>
      <c r="F60" s="606">
        <f>+E60/1.11</f>
        <v>10810.81081081081</v>
      </c>
      <c r="G60" s="608" t="s">
        <v>338</v>
      </c>
      <c r="H60" s="614">
        <f>+E60</f>
        <v>12000</v>
      </c>
      <c r="I60" s="614">
        <v>0</v>
      </c>
      <c r="J60" s="614">
        <f t="shared" ref="J60:J61" si="25">+H60*0.12</f>
        <v>1440</v>
      </c>
      <c r="K60" s="614">
        <v>0</v>
      </c>
      <c r="L60" s="614">
        <f t="shared" ref="L60:L61" si="26">+H60+J60</f>
        <v>13440</v>
      </c>
      <c r="M60" s="608" t="s">
        <v>484</v>
      </c>
      <c r="N60" s="608" t="s">
        <v>273</v>
      </c>
      <c r="O60" s="608" t="s">
        <v>299</v>
      </c>
      <c r="P60" s="608" t="s">
        <v>303</v>
      </c>
      <c r="Q60" s="643" t="s">
        <v>241</v>
      </c>
      <c r="R60" s="644">
        <f t="shared" ref="R60:R61" si="27">+H60/L60</f>
        <v>0.8928571428571429</v>
      </c>
      <c r="S60" s="644">
        <v>0</v>
      </c>
      <c r="T60" s="644">
        <f t="shared" ref="T60:T61" si="28">+J60/L60</f>
        <v>0.10714285714285714</v>
      </c>
      <c r="U60" s="644">
        <v>0</v>
      </c>
      <c r="V60" s="644">
        <f t="shared" ref="V60:V61" si="29">+R60+T60</f>
        <v>1</v>
      </c>
      <c r="W60" s="617" t="s">
        <v>397</v>
      </c>
      <c r="X60" s="617">
        <v>43800</v>
      </c>
      <c r="Y60" s="617">
        <v>43889</v>
      </c>
      <c r="Z60" s="618" t="s">
        <v>330</v>
      </c>
      <c r="AA60" s="983" t="s">
        <v>426</v>
      </c>
    </row>
    <row r="61" spans="1:27" ht="49.5" hidden="1" customHeight="1" outlineLevel="1" x14ac:dyDescent="0.2">
      <c r="A61" s="495"/>
      <c r="B61" s="611">
        <v>39</v>
      </c>
      <c r="C61" s="641" t="s">
        <v>329</v>
      </c>
      <c r="D61" s="642" t="s">
        <v>352</v>
      </c>
      <c r="E61" s="605">
        <v>65700</v>
      </c>
      <c r="F61" s="606">
        <f>+E61/1.11</f>
        <v>59189.189189189186</v>
      </c>
      <c r="G61" s="608" t="s">
        <v>338</v>
      </c>
      <c r="H61" s="614">
        <f>+E61</f>
        <v>65700</v>
      </c>
      <c r="I61" s="614">
        <v>0</v>
      </c>
      <c r="J61" s="614">
        <f t="shared" si="25"/>
        <v>7884</v>
      </c>
      <c r="K61" s="614">
        <v>0</v>
      </c>
      <c r="L61" s="614">
        <f t="shared" si="26"/>
        <v>73584</v>
      </c>
      <c r="M61" s="608" t="s">
        <v>484</v>
      </c>
      <c r="N61" s="608" t="s">
        <v>295</v>
      </c>
      <c r="O61" s="608" t="s">
        <v>304</v>
      </c>
      <c r="P61" s="608" t="s">
        <v>361</v>
      </c>
      <c r="Q61" s="645" t="s">
        <v>233</v>
      </c>
      <c r="R61" s="644">
        <f t="shared" si="27"/>
        <v>0.8928571428571429</v>
      </c>
      <c r="S61" s="644">
        <v>0</v>
      </c>
      <c r="T61" s="644">
        <f t="shared" si="28"/>
        <v>0.10714285714285714</v>
      </c>
      <c r="U61" s="644">
        <v>0</v>
      </c>
      <c r="V61" s="644">
        <f t="shared" si="29"/>
        <v>1</v>
      </c>
      <c r="W61" s="617" t="s">
        <v>397</v>
      </c>
      <c r="X61" s="617">
        <v>44044</v>
      </c>
      <c r="Y61" s="617">
        <v>44501</v>
      </c>
      <c r="Z61" s="617" t="s">
        <v>330</v>
      </c>
      <c r="AA61" s="984"/>
    </row>
    <row r="62" spans="1:27" s="589" customFormat="1" ht="45" hidden="1" customHeight="1" x14ac:dyDescent="0.25">
      <c r="A62" s="584"/>
      <c r="B62" s="581"/>
      <c r="C62" s="581"/>
      <c r="D62" s="600" t="s">
        <v>441</v>
      </c>
      <c r="E62" s="597">
        <f>+E18+E15</f>
        <v>11100000</v>
      </c>
      <c r="F62" s="598">
        <f>+F18+F15</f>
        <v>10000000</v>
      </c>
      <c r="G62" s="601"/>
      <c r="H62" s="597">
        <f>+H18+H15</f>
        <v>11100000</v>
      </c>
      <c r="I62" s="597">
        <f>+I18+I15</f>
        <v>0</v>
      </c>
      <c r="J62" s="597">
        <f>+J18+J15</f>
        <v>1323970.8</v>
      </c>
      <c r="K62" s="597">
        <f>+K18+K15</f>
        <v>0</v>
      </c>
      <c r="L62" s="597">
        <f>+L18+L15</f>
        <v>12423970.800000001</v>
      </c>
      <c r="M62" s="585"/>
      <c r="N62" s="585"/>
      <c r="O62" s="585"/>
      <c r="P62" s="585"/>
      <c r="Q62" s="585"/>
      <c r="R62" s="586"/>
      <c r="S62" s="586"/>
      <c r="T62" s="586"/>
      <c r="U62" s="586"/>
      <c r="V62" s="586"/>
      <c r="W62" s="587"/>
      <c r="X62" s="587"/>
      <c r="Y62" s="587"/>
      <c r="Z62" s="588"/>
      <c r="AA62" s="588"/>
    </row>
    <row r="63" spans="1:27" x14ac:dyDescent="0.2">
      <c r="H63" s="570"/>
      <c r="J63" s="556"/>
      <c r="K63" s="556"/>
      <c r="L63" s="556"/>
    </row>
    <row r="65" spans="8:8" x14ac:dyDescent="0.2">
      <c r="H65" s="555"/>
    </row>
    <row r="66" spans="8:8" x14ac:dyDescent="0.2">
      <c r="H66" s="570"/>
    </row>
    <row r="70" spans="8:8" x14ac:dyDescent="0.2">
      <c r="H70" s="570"/>
    </row>
  </sheetData>
  <mergeCells count="20">
    <mergeCell ref="AA13:AA14"/>
    <mergeCell ref="AA60:AA61"/>
    <mergeCell ref="M13:M14"/>
    <mergeCell ref="N13:N14"/>
    <mergeCell ref="O13:O14"/>
    <mergeCell ref="P13:P14"/>
    <mergeCell ref="Q13:Q14"/>
    <mergeCell ref="R13:V13"/>
    <mergeCell ref="B7:Z7"/>
    <mergeCell ref="B8:Z8"/>
    <mergeCell ref="J10:L10"/>
    <mergeCell ref="B13:B14"/>
    <mergeCell ref="C13:C14"/>
    <mergeCell ref="D13:D14"/>
    <mergeCell ref="E13:E14"/>
    <mergeCell ref="F13:F14"/>
    <mergeCell ref="G13:K13"/>
    <mergeCell ref="L13:L14"/>
    <mergeCell ref="W13:Y13"/>
    <mergeCell ref="Z13:Z14"/>
  </mergeCells>
  <pageMargins left="0.7" right="0.7" top="0.75" bottom="0.75" header="0.3" footer="0.3"/>
  <drawing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dimension ref="A3:J5"/>
  <sheetViews>
    <sheetView workbookViewId="0">
      <selection activeCell="A3" sqref="A3"/>
    </sheetView>
  </sheetViews>
  <sheetFormatPr baseColWidth="10" defaultRowHeight="15" x14ac:dyDescent="0.25"/>
  <cols>
    <col min="1" max="1" width="55.5703125" bestFit="1" customWidth="1"/>
    <col min="2" max="2" width="22.42578125" bestFit="1" customWidth="1"/>
    <col min="3" max="3" width="8" bestFit="1" customWidth="1"/>
    <col min="4" max="4" width="6" bestFit="1" customWidth="1"/>
    <col min="5" max="5" width="12" bestFit="1" customWidth="1"/>
    <col min="6" max="6" width="11" bestFit="1" customWidth="1"/>
    <col min="7" max="7" width="9" bestFit="1" customWidth="1"/>
    <col min="8" max="8" width="7" bestFit="1" customWidth="1"/>
    <col min="9" max="9" width="11" bestFit="1" customWidth="1"/>
    <col min="10" max="10" width="12.5703125" bestFit="1" customWidth="1"/>
  </cols>
  <sheetData>
    <row r="3" spans="1:10" x14ac:dyDescent="0.25">
      <c r="B3" s="834" t="s">
        <v>683</v>
      </c>
    </row>
    <row r="4" spans="1:10" x14ac:dyDescent="0.25">
      <c r="B4" s="757">
        <v>2</v>
      </c>
      <c r="C4" s="757">
        <v>3</v>
      </c>
      <c r="D4" s="757">
        <v>3.1</v>
      </c>
      <c r="E4" s="757" t="s">
        <v>325</v>
      </c>
      <c r="F4" s="757" t="s">
        <v>326</v>
      </c>
      <c r="G4" s="757" t="s">
        <v>328</v>
      </c>
      <c r="H4" s="757" t="s">
        <v>329</v>
      </c>
      <c r="I4" s="757" t="s">
        <v>680</v>
      </c>
      <c r="J4" s="757" t="s">
        <v>681</v>
      </c>
    </row>
    <row r="5" spans="1:10" x14ac:dyDescent="0.25">
      <c r="A5" t="s">
        <v>682</v>
      </c>
      <c r="B5" s="835">
        <v>3925800</v>
      </c>
      <c r="C5" s="835">
        <v>9137100</v>
      </c>
      <c r="D5" s="835">
        <v>10800</v>
      </c>
      <c r="E5" s="835">
        <v>15365450.040000001</v>
      </c>
      <c r="F5" s="835">
        <v>2453786.7599999998</v>
      </c>
      <c r="G5" s="835">
        <v>281923.20000000001</v>
      </c>
      <c r="H5" s="835">
        <v>155400</v>
      </c>
      <c r="I5" s="835">
        <v>1256014.98</v>
      </c>
      <c r="J5" s="835">
        <v>32586274.979999997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pageSetUpPr fitToPage="1"/>
  </sheetPr>
  <dimension ref="A1:BZ100"/>
  <sheetViews>
    <sheetView showGridLines="0" tabSelected="1" topLeftCell="A8" zoomScale="75" zoomScaleNormal="75" zoomScalePageLayoutView="80" workbookViewId="0">
      <pane xSplit="4" ySplit="10" topLeftCell="E92" activePane="bottomRight" state="frozenSplit"/>
      <selection activeCell="A8" sqref="A8"/>
      <selection pane="topRight" activeCell="B8" sqref="B8"/>
      <selection pane="bottomLeft" activeCell="A18" sqref="A18"/>
      <selection pane="bottomRight" activeCell="B98" sqref="B98"/>
    </sheetView>
  </sheetViews>
  <sheetFormatPr baseColWidth="10" defaultColWidth="11.42578125" defaultRowHeight="12.75" outlineLevelRow="2" outlineLevelCol="1" x14ac:dyDescent="0.2"/>
  <cols>
    <col min="1" max="1" width="4.5703125" style="491" customWidth="1"/>
    <col min="2" max="2" width="6" style="491" customWidth="1"/>
    <col min="3" max="3" width="15" style="491" customWidth="1"/>
    <col min="4" max="4" width="55" style="807" customWidth="1"/>
    <col min="5" max="5" width="16.140625" style="807" customWidth="1"/>
    <col min="6" max="7" width="16.28515625" style="807" customWidth="1"/>
    <col min="8" max="8" width="26.42578125" style="700" customWidth="1"/>
    <col min="9" max="9" width="25.28515625" style="491" customWidth="1"/>
    <col min="10" max="10" width="17.7109375" style="497" customWidth="1" outlineLevel="1"/>
    <col min="11" max="11" width="21.42578125" style="689" customWidth="1"/>
    <col min="12" max="12" width="14.28515625" style="491" customWidth="1"/>
    <col min="13" max="13" width="16.5703125" style="491" customWidth="1"/>
    <col min="14" max="14" width="18" style="491" customWidth="1"/>
    <col min="15" max="15" width="29.7109375" style="491" customWidth="1"/>
    <col min="16" max="16" width="13.5703125" style="491" customWidth="1"/>
    <col min="17" max="17" width="20.140625" style="498" customWidth="1"/>
    <col min="18" max="18" width="16.28515625" style="498" customWidth="1"/>
    <col min="19" max="19" width="19.140625" style="498" customWidth="1"/>
    <col min="20" max="20" width="13.7109375" style="499" customWidth="1"/>
    <col min="21" max="21" width="15" style="491" customWidth="1"/>
    <col min="22" max="22" width="16.140625" style="491" customWidth="1"/>
    <col min="23" max="25" width="12" style="491" customWidth="1"/>
    <col min="26" max="27" width="15.42578125" style="491" customWidth="1"/>
    <col min="28" max="28" width="15.85546875" style="491" customWidth="1"/>
    <col min="29" max="29" width="14.7109375" style="491" customWidth="1"/>
    <col min="30" max="30" width="18.140625" style="491" customWidth="1"/>
    <col min="31" max="31" width="81.5703125" style="491" customWidth="1"/>
    <col min="32" max="16384" width="11.42578125" style="491"/>
  </cols>
  <sheetData>
    <row r="1" spans="1:31" x14ac:dyDescent="0.2">
      <c r="A1" s="486"/>
      <c r="B1" s="486"/>
      <c r="C1" s="486"/>
      <c r="D1" s="804"/>
      <c r="E1" s="804"/>
      <c r="F1" s="804"/>
      <c r="G1" s="804"/>
      <c r="H1" s="675"/>
      <c r="I1" s="486"/>
      <c r="J1" s="487"/>
      <c r="K1" s="682"/>
      <c r="L1" s="486"/>
      <c r="M1" s="486"/>
      <c r="N1" s="486"/>
      <c r="O1" s="486"/>
      <c r="P1" s="488"/>
      <c r="Q1" s="489"/>
      <c r="R1" s="489"/>
      <c r="S1" s="489"/>
      <c r="T1" s="490"/>
      <c r="U1" s="486"/>
      <c r="V1" s="486"/>
      <c r="W1" s="486"/>
      <c r="X1" s="486"/>
      <c r="Y1" s="486"/>
      <c r="AD1" s="486"/>
      <c r="AE1" s="486"/>
    </row>
    <row r="2" spans="1:31" x14ac:dyDescent="0.2">
      <c r="A2" s="486"/>
      <c r="B2" s="486"/>
      <c r="C2" s="486"/>
      <c r="D2" s="804"/>
      <c r="E2" s="804"/>
      <c r="F2" s="804"/>
      <c r="G2" s="804"/>
      <c r="H2" s="486"/>
      <c r="I2" s="486"/>
      <c r="J2" s="487"/>
      <c r="K2" s="682"/>
      <c r="L2" s="492"/>
      <c r="M2" s="492"/>
      <c r="N2" s="486"/>
      <c r="O2" s="486"/>
      <c r="P2" s="488"/>
      <c r="Q2" s="489"/>
      <c r="R2" s="489"/>
      <c r="S2" s="489"/>
      <c r="T2" s="490"/>
      <c r="U2" s="486"/>
      <c r="V2" s="486"/>
      <c r="W2" s="486"/>
      <c r="X2" s="486"/>
      <c r="Y2" s="486"/>
      <c r="AD2" s="486"/>
      <c r="AE2" s="486"/>
    </row>
    <row r="3" spans="1:31" x14ac:dyDescent="0.2">
      <c r="A3" s="486"/>
      <c r="B3" s="486"/>
      <c r="C3" s="486"/>
      <c r="D3" s="804"/>
      <c r="E3" s="804"/>
      <c r="F3" s="804"/>
      <c r="G3" s="804"/>
      <c r="H3" s="486"/>
      <c r="I3" s="486"/>
      <c r="J3" s="487"/>
      <c r="K3" s="682"/>
      <c r="L3" s="492"/>
      <c r="M3" s="492"/>
      <c r="N3" s="486"/>
      <c r="O3" s="486"/>
      <c r="P3" s="488"/>
      <c r="Q3" s="489"/>
      <c r="R3" s="489"/>
      <c r="S3" s="489"/>
      <c r="T3" s="490"/>
      <c r="U3" s="486"/>
      <c r="V3" s="486"/>
      <c r="W3" s="486"/>
      <c r="X3" s="486"/>
      <c r="Y3" s="486"/>
      <c r="AD3" s="486"/>
      <c r="AE3" s="486"/>
    </row>
    <row r="4" spans="1:31" x14ac:dyDescent="0.2">
      <c r="A4" s="486"/>
      <c r="B4" s="486"/>
      <c r="C4" s="486"/>
      <c r="D4" s="804"/>
      <c r="E4" s="804"/>
      <c r="F4" s="804"/>
      <c r="G4" s="804"/>
      <c r="H4" s="486"/>
      <c r="I4" s="486"/>
      <c r="J4" s="487"/>
      <c r="K4" s="682"/>
      <c r="L4" s="492"/>
      <c r="M4" s="492"/>
      <c r="N4" s="486"/>
      <c r="O4" s="486"/>
      <c r="P4" s="488"/>
      <c r="Q4" s="489"/>
      <c r="R4" s="489"/>
      <c r="S4" s="489"/>
      <c r="T4" s="490"/>
      <c r="U4" s="486"/>
      <c r="V4" s="486"/>
      <c r="W4" s="486"/>
      <c r="X4" s="486"/>
      <c r="Y4" s="486"/>
      <c r="AD4" s="486"/>
      <c r="AE4" s="486"/>
    </row>
    <row r="5" spans="1:31" x14ac:dyDescent="0.2">
      <c r="A5" s="486"/>
      <c r="B5" s="486"/>
      <c r="C5" s="486"/>
      <c r="D5" s="804"/>
      <c r="E5" s="804"/>
      <c r="F5" s="804"/>
      <c r="G5" s="804"/>
      <c r="H5" s="486"/>
      <c r="I5" s="486"/>
      <c r="J5" s="487"/>
      <c r="K5" s="682"/>
      <c r="L5" s="492"/>
      <c r="M5" s="492"/>
      <c r="N5" s="486"/>
      <c r="O5" s="486"/>
      <c r="P5" s="488"/>
      <c r="Q5" s="489"/>
      <c r="R5" s="489"/>
      <c r="S5" s="489"/>
      <c r="T5" s="490"/>
      <c r="U5" s="486"/>
      <c r="V5" s="486"/>
      <c r="W5" s="486"/>
      <c r="X5" s="486"/>
      <c r="Y5" s="486"/>
      <c r="AD5" s="486"/>
      <c r="AE5" s="486"/>
    </row>
    <row r="6" spans="1:31" ht="13.5" thickBot="1" x14ac:dyDescent="0.25">
      <c r="A6" s="486"/>
      <c r="B6" s="486"/>
      <c r="C6" s="486"/>
      <c r="D6" s="804"/>
      <c r="E6" s="804"/>
      <c r="F6" s="804"/>
      <c r="G6" s="804"/>
      <c r="H6" s="486"/>
      <c r="I6" s="486"/>
      <c r="J6" s="487"/>
      <c r="K6" s="682"/>
      <c r="L6" s="486"/>
      <c r="M6" s="486"/>
      <c r="N6" s="486"/>
      <c r="O6" s="486"/>
      <c r="P6" s="488"/>
      <c r="Q6" s="489"/>
      <c r="R6" s="489"/>
      <c r="S6" s="489"/>
      <c r="T6" s="490"/>
      <c r="U6" s="486"/>
      <c r="V6" s="486"/>
      <c r="W6" s="486"/>
      <c r="X6" s="486"/>
      <c r="Y6" s="486"/>
      <c r="AD6" s="486"/>
      <c r="AE6" s="486"/>
    </row>
    <row r="7" spans="1:31" ht="77.25" customHeight="1" thickBot="1" x14ac:dyDescent="0.3">
      <c r="A7" s="486"/>
      <c r="B7" s="991" t="s">
        <v>234</v>
      </c>
      <c r="C7" s="992"/>
      <c r="D7" s="992"/>
      <c r="E7" s="992"/>
      <c r="F7" s="992"/>
      <c r="G7" s="992"/>
      <c r="H7" s="992"/>
      <c r="I7" s="992"/>
      <c r="J7" s="992"/>
      <c r="K7" s="992"/>
      <c r="L7" s="992"/>
      <c r="M7" s="992"/>
      <c r="N7" s="992"/>
      <c r="O7" s="992"/>
      <c r="P7" s="992"/>
      <c r="Q7" s="992"/>
      <c r="R7" s="992"/>
      <c r="S7" s="992"/>
      <c r="T7" s="992"/>
      <c r="U7" s="992"/>
      <c r="V7" s="992"/>
      <c r="W7" s="992"/>
      <c r="X7" s="992"/>
      <c r="Y7" s="992"/>
      <c r="Z7" s="992"/>
      <c r="AA7" s="992"/>
      <c r="AB7" s="992"/>
      <c r="AC7" s="992"/>
      <c r="AD7" s="993"/>
      <c r="AE7" s="552"/>
    </row>
    <row r="8" spans="1:31" ht="38.25" customHeight="1" thickBot="1" x14ac:dyDescent="0.3">
      <c r="A8" s="486"/>
      <c r="B8" s="994" t="s">
        <v>611</v>
      </c>
      <c r="C8" s="995"/>
      <c r="D8" s="995"/>
      <c r="E8" s="995"/>
      <c r="F8" s="995"/>
      <c r="G8" s="995"/>
      <c r="H8" s="995"/>
      <c r="I8" s="995"/>
      <c r="J8" s="995"/>
      <c r="K8" s="995"/>
      <c r="L8" s="995"/>
      <c r="M8" s="995"/>
      <c r="N8" s="995"/>
      <c r="O8" s="995"/>
      <c r="P8" s="995"/>
      <c r="Q8" s="995"/>
      <c r="R8" s="995"/>
      <c r="S8" s="995"/>
      <c r="T8" s="995"/>
      <c r="U8" s="995"/>
      <c r="V8" s="995"/>
      <c r="W8" s="995"/>
      <c r="X8" s="995"/>
      <c r="Y8" s="995"/>
      <c r="Z8" s="995"/>
      <c r="AA8" s="995"/>
      <c r="AB8" s="995"/>
      <c r="AC8" s="995"/>
      <c r="AD8" s="996"/>
      <c r="AE8" s="553"/>
    </row>
    <row r="9" spans="1:31" ht="13.5" thickBot="1" x14ac:dyDescent="0.25">
      <c r="A9" s="486"/>
      <c r="B9" s="486"/>
      <c r="C9" s="486"/>
      <c r="D9" s="804"/>
      <c r="E9" s="804"/>
      <c r="F9" s="804"/>
      <c r="G9" s="804"/>
      <c r="H9" s="675"/>
      <c r="I9" s="486"/>
      <c r="J9" s="487"/>
      <c r="K9" s="682"/>
      <c r="L9" s="486"/>
      <c r="M9" s="486"/>
      <c r="N9" s="486"/>
      <c r="O9" s="486"/>
      <c r="P9" s="488"/>
      <c r="Q9" s="489"/>
      <c r="R9" s="489"/>
      <c r="S9" s="489"/>
      <c r="T9" s="490"/>
      <c r="U9" s="486"/>
      <c r="V9" s="486"/>
      <c r="W9" s="486"/>
      <c r="X9" s="486"/>
      <c r="Y9" s="486"/>
      <c r="AD9" s="486"/>
      <c r="AE9" s="486"/>
    </row>
    <row r="10" spans="1:31" ht="16.5" thickBot="1" x14ac:dyDescent="0.3">
      <c r="A10" s="486"/>
      <c r="B10" s="486"/>
      <c r="C10" s="486"/>
      <c r="D10" s="805" t="s">
        <v>0</v>
      </c>
      <c r="E10" s="805"/>
      <c r="F10" s="805"/>
      <c r="G10" s="805"/>
      <c r="H10" s="833">
        <v>43131</v>
      </c>
      <c r="I10" s="839"/>
      <c r="J10" s="500"/>
      <c r="K10" s="683"/>
      <c r="L10" s="486"/>
      <c r="M10" s="994" t="s">
        <v>449</v>
      </c>
      <c r="N10" s="995"/>
      <c r="O10" s="996"/>
      <c r="P10" s="690">
        <v>0.12</v>
      </c>
      <c r="Q10" s="493"/>
      <c r="R10" s="493"/>
      <c r="S10" s="691" t="s">
        <v>508</v>
      </c>
      <c r="T10" s="990" t="s">
        <v>509</v>
      </c>
      <c r="U10" s="990"/>
      <c r="V10" s="990"/>
      <c r="W10" s="990"/>
      <c r="X10" s="990"/>
      <c r="Y10" s="990"/>
      <c r="Z10" s="990"/>
      <c r="AA10" s="987" t="s">
        <v>606</v>
      </c>
      <c r="AB10" s="988"/>
      <c r="AC10" s="988"/>
      <c r="AD10" s="989"/>
      <c r="AE10" s="551"/>
    </row>
    <row r="11" spans="1:31" x14ac:dyDescent="0.2">
      <c r="A11" s="486"/>
      <c r="B11" s="486"/>
      <c r="C11" s="486"/>
      <c r="D11" s="805" t="s">
        <v>1</v>
      </c>
      <c r="E11" s="805"/>
      <c r="F11" s="805"/>
      <c r="G11" s="805"/>
      <c r="H11" s="833">
        <v>44957</v>
      </c>
      <c r="I11" s="521"/>
      <c r="J11" s="496"/>
      <c r="K11" s="683"/>
      <c r="L11" s="486"/>
      <c r="M11" s="486"/>
      <c r="N11" s="486"/>
      <c r="O11" s="486"/>
      <c r="P11" s="488"/>
      <c r="Q11" s="489"/>
      <c r="R11" s="489"/>
      <c r="S11" s="691" t="s">
        <v>505</v>
      </c>
      <c r="T11" s="990" t="s">
        <v>615</v>
      </c>
      <c r="U11" s="990"/>
      <c r="V11" s="990"/>
      <c r="W11" s="990"/>
      <c r="X11" s="990"/>
      <c r="Y11" s="990"/>
      <c r="Z11" s="990"/>
      <c r="AA11" s="987" t="s">
        <v>605</v>
      </c>
      <c r="AB11" s="988"/>
      <c r="AC11" s="988"/>
      <c r="AD11" s="989"/>
      <c r="AE11" s="486"/>
    </row>
    <row r="12" spans="1:31" ht="13.15" customHeight="1" x14ac:dyDescent="0.2">
      <c r="A12" s="486"/>
      <c r="B12" s="486"/>
      <c r="C12" s="486"/>
      <c r="D12" s="806"/>
      <c r="E12" s="806"/>
      <c r="F12" s="806"/>
      <c r="G12" s="806"/>
      <c r="H12" s="803"/>
      <c r="I12" s="521"/>
      <c r="J12" s="496"/>
      <c r="K12" s="683"/>
      <c r="L12" s="486"/>
      <c r="M12" s="486"/>
      <c r="N12" s="486"/>
      <c r="O12" s="486"/>
      <c r="P12" s="488"/>
      <c r="Q12" s="489"/>
      <c r="R12" s="489"/>
      <c r="S12" s="691" t="s">
        <v>603</v>
      </c>
      <c r="T12" s="990" t="s">
        <v>616</v>
      </c>
      <c r="U12" s="990"/>
      <c r="V12" s="990"/>
      <c r="W12" s="990"/>
      <c r="X12" s="990"/>
      <c r="Y12" s="990"/>
      <c r="Z12" s="990"/>
      <c r="AA12" s="987" t="s">
        <v>607</v>
      </c>
      <c r="AB12" s="988"/>
      <c r="AC12" s="988"/>
      <c r="AD12" s="989"/>
      <c r="AE12" s="486"/>
    </row>
    <row r="13" spans="1:31" hidden="1" x14ac:dyDescent="0.2">
      <c r="A13" s="486"/>
      <c r="B13" s="486"/>
      <c r="C13" s="486"/>
      <c r="D13" s="806"/>
      <c r="E13" s="806"/>
      <c r="F13" s="806"/>
      <c r="G13" s="806"/>
      <c r="H13" s="803"/>
      <c r="I13" s="521"/>
      <c r="J13" s="496"/>
      <c r="K13" s="683"/>
      <c r="L13" s="486"/>
      <c r="M13" s="486"/>
      <c r="N13" s="486"/>
      <c r="O13" s="486"/>
      <c r="P13" s="488"/>
      <c r="Q13" s="489"/>
      <c r="R13" s="489"/>
      <c r="S13" s="691" t="s">
        <v>604</v>
      </c>
      <c r="T13" s="990" t="s">
        <v>612</v>
      </c>
      <c r="U13" s="990"/>
      <c r="V13" s="990"/>
      <c r="W13" s="990"/>
      <c r="X13" s="990"/>
      <c r="Y13" s="990"/>
      <c r="Z13" s="990"/>
      <c r="AA13" s="987" t="s">
        <v>614</v>
      </c>
      <c r="AB13" s="988"/>
      <c r="AC13" s="988"/>
      <c r="AD13" s="989"/>
      <c r="AE13" s="486"/>
    </row>
    <row r="14" spans="1:31" hidden="1" x14ac:dyDescent="0.2">
      <c r="A14" s="486"/>
      <c r="B14" s="486"/>
      <c r="C14" s="486"/>
      <c r="D14" s="806"/>
      <c r="E14" s="806"/>
      <c r="F14" s="806"/>
      <c r="G14" s="806"/>
      <c r="H14" s="803"/>
      <c r="I14" s="521"/>
      <c r="J14" s="496"/>
      <c r="K14" s="683"/>
      <c r="L14" s="486"/>
      <c r="M14" s="486"/>
      <c r="N14" s="486"/>
      <c r="O14" s="486"/>
      <c r="P14" s="488"/>
      <c r="Q14" s="489"/>
      <c r="R14" s="489"/>
      <c r="S14" s="691" t="s">
        <v>604</v>
      </c>
      <c r="T14" s="990" t="s">
        <v>613</v>
      </c>
      <c r="U14" s="990"/>
      <c r="V14" s="990"/>
      <c r="W14" s="990"/>
      <c r="X14" s="990"/>
      <c r="Y14" s="990"/>
      <c r="Z14" s="990"/>
      <c r="AA14" s="987" t="s">
        <v>626</v>
      </c>
      <c r="AB14" s="988"/>
      <c r="AC14" s="988"/>
      <c r="AD14" s="989"/>
      <c r="AE14" s="486"/>
    </row>
    <row r="15" spans="1:31" hidden="1" x14ac:dyDescent="0.2">
      <c r="A15" s="486"/>
      <c r="B15" s="486"/>
      <c r="C15" s="486"/>
      <c r="D15" s="804"/>
      <c r="E15" s="804"/>
      <c r="F15" s="804"/>
      <c r="G15" s="804"/>
      <c r="H15" s="675"/>
      <c r="I15" s="486"/>
      <c r="J15" s="487"/>
      <c r="K15" s="682"/>
      <c r="L15" s="486"/>
      <c r="M15" s="486"/>
      <c r="N15" s="486"/>
      <c r="O15" s="486"/>
      <c r="P15" s="488"/>
      <c r="Q15" s="489"/>
      <c r="R15" s="489"/>
      <c r="S15" s="489"/>
      <c r="T15" s="490"/>
      <c r="U15" s="486"/>
      <c r="V15" s="486"/>
      <c r="W15" s="486"/>
      <c r="X15" s="486"/>
      <c r="Y15" s="486"/>
      <c r="AD15" s="486"/>
      <c r="AE15" s="486"/>
    </row>
    <row r="16" spans="1:31" ht="35.25" customHeight="1" x14ac:dyDescent="0.2">
      <c r="A16" s="486"/>
      <c r="B16" s="976" t="s">
        <v>17</v>
      </c>
      <c r="C16" s="976" t="s">
        <v>214</v>
      </c>
      <c r="D16" s="976" t="s">
        <v>567</v>
      </c>
      <c r="E16" s="977" t="s">
        <v>629</v>
      </c>
      <c r="F16" s="985" t="s">
        <v>641</v>
      </c>
      <c r="G16" s="985" t="s">
        <v>649</v>
      </c>
      <c r="H16" s="977" t="s">
        <v>628</v>
      </c>
      <c r="I16" s="977" t="s">
        <v>420</v>
      </c>
      <c r="J16" s="979" t="s">
        <v>19</v>
      </c>
      <c r="K16" s="980"/>
      <c r="L16" s="980"/>
      <c r="M16" s="980"/>
      <c r="N16" s="981"/>
      <c r="O16" s="976" t="s">
        <v>573</v>
      </c>
      <c r="P16" s="976" t="s">
        <v>549</v>
      </c>
      <c r="Q16" s="976" t="s">
        <v>297</v>
      </c>
      <c r="R16" s="976" t="s">
        <v>300</v>
      </c>
      <c r="S16" s="976" t="s">
        <v>301</v>
      </c>
      <c r="T16" s="976" t="s">
        <v>547</v>
      </c>
      <c r="U16" s="982" t="s">
        <v>2</v>
      </c>
      <c r="V16" s="982"/>
      <c r="W16" s="982"/>
      <c r="X16" s="982"/>
      <c r="Y16" s="982"/>
      <c r="Z16" s="979" t="s">
        <v>10</v>
      </c>
      <c r="AA16" s="980"/>
      <c r="AB16" s="980"/>
      <c r="AC16" s="981"/>
      <c r="AD16" s="982" t="s">
        <v>9</v>
      </c>
      <c r="AE16" s="982" t="s">
        <v>8</v>
      </c>
    </row>
    <row r="17" spans="1:76" ht="51.75" customHeight="1" x14ac:dyDescent="0.2">
      <c r="A17" s="486"/>
      <c r="B17" s="976"/>
      <c r="C17" s="976"/>
      <c r="D17" s="976"/>
      <c r="E17" s="978"/>
      <c r="F17" s="986"/>
      <c r="G17" s="986"/>
      <c r="H17" s="978"/>
      <c r="I17" s="978"/>
      <c r="J17" s="656" t="s">
        <v>568</v>
      </c>
      <c r="K17" s="708" t="s">
        <v>570</v>
      </c>
      <c r="L17" s="656" t="s">
        <v>569</v>
      </c>
      <c r="M17" s="656" t="s">
        <v>571</v>
      </c>
      <c r="N17" s="656" t="s">
        <v>572</v>
      </c>
      <c r="O17" s="976"/>
      <c r="P17" s="976"/>
      <c r="Q17" s="976"/>
      <c r="R17" s="976"/>
      <c r="S17" s="976"/>
      <c r="T17" s="976"/>
      <c r="U17" s="656" t="s">
        <v>283</v>
      </c>
      <c r="V17" s="656" t="s">
        <v>346</v>
      </c>
      <c r="W17" s="656" t="s">
        <v>284</v>
      </c>
      <c r="X17" s="656" t="s">
        <v>285</v>
      </c>
      <c r="Y17" s="656" t="s">
        <v>15</v>
      </c>
      <c r="Z17" s="699" t="s">
        <v>545</v>
      </c>
      <c r="AA17" s="708" t="s">
        <v>544</v>
      </c>
      <c r="AB17" s="699" t="s">
        <v>546</v>
      </c>
      <c r="AC17" s="699" t="s">
        <v>7</v>
      </c>
      <c r="AD17" s="982"/>
      <c r="AE17" s="982"/>
    </row>
    <row r="18" spans="1:76" s="578" customFormat="1" ht="22.5" customHeight="1" x14ac:dyDescent="0.25">
      <c r="A18" s="574"/>
      <c r="B18" s="664"/>
      <c r="C18" s="665">
        <v>2</v>
      </c>
      <c r="D18" s="666" t="s">
        <v>442</v>
      </c>
      <c r="E18" s="666"/>
      <c r="F18" s="666"/>
      <c r="G18" s="666"/>
      <c r="H18" s="692">
        <f>H19+H20+H21+H22+H23+H24</f>
        <v>1819446.3599999999</v>
      </c>
      <c r="I18" s="837">
        <f>I19+I20+I21+I22+I23+I24</f>
        <v>1639140.8648648649</v>
      </c>
      <c r="J18" s="808"/>
      <c r="K18" s="684">
        <f>SUM(K19:K24)</f>
        <v>1819446.3599999999</v>
      </c>
      <c r="L18" s="684">
        <f>SUM(L19:L24)</f>
        <v>0</v>
      </c>
      <c r="M18" s="684">
        <f>SUM(M19:M24)</f>
        <v>218333.5632</v>
      </c>
      <c r="N18" s="684">
        <f>SUM(N19:N24)</f>
        <v>0</v>
      </c>
      <c r="O18" s="684">
        <f>SUM(O19:O24)</f>
        <v>2037779.9231999998</v>
      </c>
      <c r="P18" s="667"/>
      <c r="Q18" s="667"/>
      <c r="R18" s="667"/>
      <c r="S18" s="667"/>
      <c r="T18" s="667"/>
      <c r="U18" s="667"/>
      <c r="V18" s="667"/>
      <c r="W18" s="667"/>
      <c r="X18" s="667"/>
      <c r="Y18" s="667"/>
      <c r="Z18" s="664"/>
      <c r="AA18" s="664"/>
      <c r="AB18" s="664"/>
      <c r="AC18" s="664"/>
      <c r="AD18" s="664"/>
      <c r="AE18" s="664"/>
    </row>
    <row r="19" spans="1:76" ht="115.5" customHeight="1" outlineLevel="1" x14ac:dyDescent="0.2">
      <c r="A19" s="488"/>
      <c r="B19" s="611">
        <v>1</v>
      </c>
      <c r="C19" s="603">
        <v>2</v>
      </c>
      <c r="D19" s="703" t="s">
        <v>520</v>
      </c>
      <c r="E19" s="676">
        <v>640559</v>
      </c>
      <c r="F19" s="676"/>
      <c r="G19" s="676"/>
      <c r="H19" s="676">
        <f t="shared" ref="H19:H24" si="0">E19+F19+G19</f>
        <v>640559</v>
      </c>
      <c r="I19" s="606">
        <f t="shared" ref="I19:I24" si="1">+H19/1.11</f>
        <v>577080.18018018012</v>
      </c>
      <c r="J19" s="607" t="s">
        <v>332</v>
      </c>
      <c r="K19" s="685">
        <f t="shared" ref="K19:K24" si="2">+H19</f>
        <v>640559</v>
      </c>
      <c r="L19" s="605">
        <v>0</v>
      </c>
      <c r="M19" s="605">
        <f t="shared" ref="M19:M89" si="3">+K19*0.12</f>
        <v>76867.08</v>
      </c>
      <c r="N19" s="605">
        <v>0</v>
      </c>
      <c r="O19" s="605">
        <f t="shared" ref="O19:O89" si="4">+K19+M19</f>
        <v>717426.08</v>
      </c>
      <c r="P19" s="608" t="s">
        <v>289</v>
      </c>
      <c r="Q19" s="608" t="s">
        <v>296</v>
      </c>
      <c r="R19" s="608" t="s">
        <v>298</v>
      </c>
      <c r="S19" s="608" t="s">
        <v>302</v>
      </c>
      <c r="T19" s="608" t="s">
        <v>233</v>
      </c>
      <c r="U19" s="609">
        <f>+K19/O19</f>
        <v>0.8928571428571429</v>
      </c>
      <c r="V19" s="609">
        <v>0</v>
      </c>
      <c r="W19" s="609">
        <f>+M19/O19</f>
        <v>0.10714285714285715</v>
      </c>
      <c r="X19" s="609">
        <v>0</v>
      </c>
      <c r="Y19" s="609">
        <f>+U19+W19</f>
        <v>1</v>
      </c>
      <c r="Z19" s="610" t="s">
        <v>515</v>
      </c>
      <c r="AA19" s="617" t="s">
        <v>517</v>
      </c>
      <c r="AB19" s="617" t="s">
        <v>650</v>
      </c>
      <c r="AC19" s="617" t="s">
        <v>655</v>
      </c>
      <c r="AD19" s="818" t="s">
        <v>356</v>
      </c>
      <c r="AE19" s="661" t="s">
        <v>557</v>
      </c>
    </row>
    <row r="20" spans="1:76" ht="52.5" customHeight="1" outlineLevel="1" x14ac:dyDescent="0.2">
      <c r="A20" s="488"/>
      <c r="B20" s="611">
        <v>2</v>
      </c>
      <c r="C20" s="603">
        <v>2</v>
      </c>
      <c r="D20" s="693" t="s">
        <v>592</v>
      </c>
      <c r="E20" s="676">
        <v>198223.44</v>
      </c>
      <c r="F20" s="676"/>
      <c r="G20" s="676"/>
      <c r="H20" s="676">
        <f>E20+F20+G20</f>
        <v>198223.44</v>
      </c>
      <c r="I20" s="606">
        <f t="shared" si="1"/>
        <v>178579.67567567565</v>
      </c>
      <c r="J20" s="607" t="s">
        <v>332</v>
      </c>
      <c r="K20" s="685">
        <f t="shared" si="2"/>
        <v>198223.44</v>
      </c>
      <c r="L20" s="605">
        <v>0</v>
      </c>
      <c r="M20" s="605">
        <f t="shared" ref="M20:M23" si="5">+K20*0.12</f>
        <v>23786.8128</v>
      </c>
      <c r="N20" s="605">
        <v>0</v>
      </c>
      <c r="O20" s="605">
        <f t="shared" ref="O20:O24" si="6">+K20+M20</f>
        <v>222010.25280000002</v>
      </c>
      <c r="P20" s="608" t="s">
        <v>289</v>
      </c>
      <c r="Q20" s="770" t="s">
        <v>296</v>
      </c>
      <c r="R20" s="770" t="s">
        <v>506</v>
      </c>
      <c r="S20" s="608" t="s">
        <v>302</v>
      </c>
      <c r="T20" s="608" t="s">
        <v>233</v>
      </c>
      <c r="U20" s="610"/>
      <c r="V20" s="610"/>
      <c r="W20" s="610"/>
      <c r="X20" s="610"/>
      <c r="Y20" s="609"/>
      <c r="Z20" s="610" t="s">
        <v>397</v>
      </c>
      <c r="AA20" s="610" t="s">
        <v>630</v>
      </c>
      <c r="AB20" s="610" t="s">
        <v>652</v>
      </c>
      <c r="AC20" s="610" t="s">
        <v>676</v>
      </c>
      <c r="AD20" s="802" t="s">
        <v>330</v>
      </c>
      <c r="AE20" s="661" t="s">
        <v>555</v>
      </c>
    </row>
    <row r="21" spans="1:76" ht="46.5" customHeight="1" outlineLevel="1" x14ac:dyDescent="0.2">
      <c r="A21" s="488"/>
      <c r="B21" s="611">
        <v>3</v>
      </c>
      <c r="C21" s="603">
        <v>2</v>
      </c>
      <c r="D21" s="693" t="s">
        <v>597</v>
      </c>
      <c r="E21" s="676">
        <v>589855.88</v>
      </c>
      <c r="F21" s="676"/>
      <c r="G21" s="676"/>
      <c r="H21" s="676">
        <f t="shared" si="0"/>
        <v>589855.88</v>
      </c>
      <c r="I21" s="606">
        <f t="shared" si="1"/>
        <v>531401.69369369361</v>
      </c>
      <c r="J21" s="607" t="s">
        <v>332</v>
      </c>
      <c r="K21" s="685">
        <f t="shared" si="2"/>
        <v>589855.88</v>
      </c>
      <c r="L21" s="605">
        <v>0</v>
      </c>
      <c r="M21" s="605">
        <f t="shared" si="5"/>
        <v>70782.705600000001</v>
      </c>
      <c r="N21" s="605">
        <v>0</v>
      </c>
      <c r="O21" s="605">
        <f t="shared" si="6"/>
        <v>660638.58559999999</v>
      </c>
      <c r="P21" s="770" t="s">
        <v>289</v>
      </c>
      <c r="Q21" s="770" t="s">
        <v>296</v>
      </c>
      <c r="R21" s="770" t="s">
        <v>298</v>
      </c>
      <c r="S21" s="770" t="s">
        <v>302</v>
      </c>
      <c r="T21" s="770" t="s">
        <v>233</v>
      </c>
      <c r="U21" s="610"/>
      <c r="V21" s="610"/>
      <c r="W21" s="610"/>
      <c r="X21" s="610"/>
      <c r="Y21" s="609"/>
      <c r="Z21" s="802" t="s">
        <v>511</v>
      </c>
      <c r="AA21" s="802" t="s">
        <v>630</v>
      </c>
      <c r="AB21" s="802" t="s">
        <v>652</v>
      </c>
      <c r="AC21" s="802" t="s">
        <v>655</v>
      </c>
      <c r="AD21" s="802" t="s">
        <v>330</v>
      </c>
      <c r="AE21" s="661" t="s">
        <v>556</v>
      </c>
    </row>
    <row r="22" spans="1:76" ht="55.5" customHeight="1" outlineLevel="1" x14ac:dyDescent="0.2">
      <c r="A22" s="488"/>
      <c r="B22" s="611">
        <v>4</v>
      </c>
      <c r="C22" s="603">
        <v>2</v>
      </c>
      <c r="D22" s="693" t="s">
        <v>600</v>
      </c>
      <c r="E22" s="676">
        <v>191964.29</v>
      </c>
      <c r="F22" s="676"/>
      <c r="G22" s="676"/>
      <c r="H22" s="676">
        <f t="shared" si="0"/>
        <v>191964.29</v>
      </c>
      <c r="I22" s="606">
        <f t="shared" si="1"/>
        <v>172940.8018018018</v>
      </c>
      <c r="J22" s="607" t="s">
        <v>332</v>
      </c>
      <c r="K22" s="685">
        <f t="shared" si="2"/>
        <v>191964.29</v>
      </c>
      <c r="L22" s="605">
        <v>0</v>
      </c>
      <c r="M22" s="605">
        <f t="shared" si="5"/>
        <v>23035.714800000002</v>
      </c>
      <c r="N22" s="605">
        <v>0</v>
      </c>
      <c r="O22" s="605">
        <f t="shared" si="6"/>
        <v>215000.0048</v>
      </c>
      <c r="P22" s="770" t="s">
        <v>289</v>
      </c>
      <c r="Q22" s="770" t="s">
        <v>295</v>
      </c>
      <c r="R22" s="770" t="s">
        <v>506</v>
      </c>
      <c r="S22" s="770" t="s">
        <v>302</v>
      </c>
      <c r="T22" s="770" t="s">
        <v>233</v>
      </c>
      <c r="U22" s="610"/>
      <c r="V22" s="610"/>
      <c r="W22" s="610"/>
      <c r="X22" s="610"/>
      <c r="Y22" s="609"/>
      <c r="Z22" s="610" t="s">
        <v>397</v>
      </c>
      <c r="AA22" s="802" t="s">
        <v>630</v>
      </c>
      <c r="AB22" s="802" t="s">
        <v>652</v>
      </c>
      <c r="AC22" s="802" t="s">
        <v>655</v>
      </c>
      <c r="AD22" s="802" t="s">
        <v>330</v>
      </c>
      <c r="AE22" s="661" t="s">
        <v>556</v>
      </c>
    </row>
    <row r="23" spans="1:76" ht="69.75" customHeight="1" outlineLevel="1" x14ac:dyDescent="0.2">
      <c r="A23" s="488"/>
      <c r="B23" s="611">
        <v>5</v>
      </c>
      <c r="C23" s="603">
        <v>2</v>
      </c>
      <c r="D23" s="693" t="s">
        <v>599</v>
      </c>
      <c r="E23" s="676">
        <v>174285.71</v>
      </c>
      <c r="F23" s="676"/>
      <c r="G23" s="676"/>
      <c r="H23" s="676">
        <f t="shared" si="0"/>
        <v>174285.71</v>
      </c>
      <c r="I23" s="606">
        <f t="shared" si="1"/>
        <v>157014.15315315314</v>
      </c>
      <c r="J23" s="607" t="s">
        <v>332</v>
      </c>
      <c r="K23" s="685">
        <f t="shared" si="2"/>
        <v>174285.71</v>
      </c>
      <c r="L23" s="605">
        <v>0</v>
      </c>
      <c r="M23" s="605">
        <f t="shared" si="5"/>
        <v>20914.285199999998</v>
      </c>
      <c r="N23" s="605">
        <v>0</v>
      </c>
      <c r="O23" s="605">
        <f t="shared" si="6"/>
        <v>195199.9952</v>
      </c>
      <c r="P23" s="608" t="s">
        <v>289</v>
      </c>
      <c r="Q23" s="608" t="s">
        <v>295</v>
      </c>
      <c r="R23" s="608" t="s">
        <v>506</v>
      </c>
      <c r="S23" s="608" t="s">
        <v>302</v>
      </c>
      <c r="T23" s="608" t="s">
        <v>233</v>
      </c>
      <c r="U23" s="610"/>
      <c r="V23" s="610"/>
      <c r="W23" s="610"/>
      <c r="X23" s="610"/>
      <c r="Y23" s="609"/>
      <c r="Z23" s="610" t="s">
        <v>397</v>
      </c>
      <c r="AA23" s="802" t="s">
        <v>630</v>
      </c>
      <c r="AB23" s="802" t="s">
        <v>652</v>
      </c>
      <c r="AC23" s="802" t="s">
        <v>655</v>
      </c>
      <c r="AD23" s="802" t="s">
        <v>330</v>
      </c>
      <c r="AE23" s="661" t="s">
        <v>556</v>
      </c>
    </row>
    <row r="24" spans="1:76" ht="57" customHeight="1" outlineLevel="1" x14ac:dyDescent="0.2">
      <c r="A24" s="841"/>
      <c r="B24" s="611">
        <v>6</v>
      </c>
      <c r="C24" s="603">
        <v>2</v>
      </c>
      <c r="D24" s="693" t="s">
        <v>602</v>
      </c>
      <c r="E24" s="676">
        <v>24558.04</v>
      </c>
      <c r="F24" s="676"/>
      <c r="G24" s="676"/>
      <c r="H24" s="676">
        <f t="shared" si="0"/>
        <v>24558.04</v>
      </c>
      <c r="I24" s="606">
        <f t="shared" si="1"/>
        <v>22124.360360360359</v>
      </c>
      <c r="J24" s="607" t="s">
        <v>332</v>
      </c>
      <c r="K24" s="685">
        <f t="shared" si="2"/>
        <v>24558.04</v>
      </c>
      <c r="L24" s="605"/>
      <c r="M24" s="605">
        <f>+K24*0.12</f>
        <v>2946.9648000000002</v>
      </c>
      <c r="N24" s="605">
        <v>0</v>
      </c>
      <c r="O24" s="605">
        <f t="shared" si="6"/>
        <v>27505.004800000002</v>
      </c>
      <c r="P24" s="770" t="s">
        <v>291</v>
      </c>
      <c r="Q24" s="770" t="s">
        <v>295</v>
      </c>
      <c r="R24" s="770" t="s">
        <v>506</v>
      </c>
      <c r="S24" s="770" t="s">
        <v>548</v>
      </c>
      <c r="T24" s="770" t="s">
        <v>233</v>
      </c>
      <c r="U24" s="610"/>
      <c r="V24" s="610"/>
      <c r="W24" s="610"/>
      <c r="X24" s="610"/>
      <c r="Y24" s="609"/>
      <c r="Z24" s="802" t="s">
        <v>630</v>
      </c>
      <c r="AA24" s="802" t="s">
        <v>652</v>
      </c>
      <c r="AB24" s="802" t="s">
        <v>655</v>
      </c>
      <c r="AC24" s="802"/>
      <c r="AD24" s="802" t="s">
        <v>330</v>
      </c>
      <c r="AE24" s="661"/>
    </row>
    <row r="25" spans="1:76" s="578" customFormat="1" ht="30" customHeight="1" x14ac:dyDescent="0.25">
      <c r="A25" s="579"/>
      <c r="B25" s="824"/>
      <c r="C25" s="668">
        <v>3</v>
      </c>
      <c r="D25" s="801" t="s">
        <v>421</v>
      </c>
      <c r="E25" s="801"/>
      <c r="F25" s="801"/>
      <c r="G25" s="840"/>
      <c r="H25" s="678">
        <f>+H26+H54+H90+H92</f>
        <v>9280553.6400000006</v>
      </c>
      <c r="I25" s="837">
        <f>+I26+I54+I90+I92</f>
        <v>8360859.1351351347</v>
      </c>
      <c r="J25" s="808"/>
      <c r="K25" s="686">
        <f>+K26+K54+K90+K92</f>
        <v>8364401.9899999993</v>
      </c>
      <c r="L25" s="686">
        <f>+L26+L54+L90+L92</f>
        <v>0</v>
      </c>
      <c r="M25" s="686">
        <f>+M26+M54+M90+M92</f>
        <v>641138.27879999997</v>
      </c>
      <c r="N25" s="686">
        <f>+N26+N54+N90+N92</f>
        <v>354560.76</v>
      </c>
      <c r="O25" s="686">
        <f>+O26+O54+O90+O92</f>
        <v>9360101.0287999995</v>
      </c>
      <c r="P25" s="667"/>
      <c r="Q25" s="667"/>
      <c r="R25" s="667"/>
      <c r="S25" s="667"/>
      <c r="T25" s="667"/>
      <c r="U25" s="670"/>
      <c r="V25" s="670"/>
      <c r="W25" s="670"/>
      <c r="X25" s="670"/>
      <c r="Y25" s="670"/>
      <c r="Z25" s="774"/>
      <c r="AA25" s="774"/>
      <c r="AB25" s="774"/>
      <c r="AC25" s="774"/>
      <c r="AD25" s="811"/>
      <c r="AE25" s="709"/>
    </row>
    <row r="26" spans="1:76" ht="29.25" customHeight="1" x14ac:dyDescent="0.2">
      <c r="A26" s="488"/>
      <c r="B26" s="824"/>
      <c r="C26" s="512" t="s">
        <v>325</v>
      </c>
      <c r="D26" s="519" t="s">
        <v>439</v>
      </c>
      <c r="E26" s="519"/>
      <c r="F26" s="519"/>
      <c r="G26" s="519"/>
      <c r="H26" s="694">
        <f>SUM(H27:H53)</f>
        <v>7065971.0699999994</v>
      </c>
      <c r="I26" s="838">
        <f>SUM(I27:I53)</f>
        <v>6365739.7027027011</v>
      </c>
      <c r="J26" s="810"/>
      <c r="K26" s="687">
        <f>SUM(K27:K52)</f>
        <v>7049495.1899999995</v>
      </c>
      <c r="L26" s="687">
        <f>SUM(L27:L52)</f>
        <v>0</v>
      </c>
      <c r="M26" s="687">
        <f>SUM(M27:M52)</f>
        <v>491378.66279999999</v>
      </c>
      <c r="N26" s="687">
        <f>SUM(N27:N52)</f>
        <v>354560.76</v>
      </c>
      <c r="O26" s="687">
        <f>SUM(O27:O52)</f>
        <v>7895434.6128000002</v>
      </c>
      <c r="P26" s="514"/>
      <c r="Q26" s="514"/>
      <c r="R26" s="514"/>
      <c r="S26" s="514"/>
      <c r="T26" s="514"/>
      <c r="U26" s="573"/>
      <c r="V26" s="573"/>
      <c r="W26" s="573"/>
      <c r="X26" s="573"/>
      <c r="Y26" s="573"/>
      <c r="Z26" s="758"/>
      <c r="AA26" s="758"/>
      <c r="AB26" s="758"/>
      <c r="AC26" s="758"/>
      <c r="AD26" s="812"/>
      <c r="AE26" s="710"/>
    </row>
    <row r="27" spans="1:76" s="831" customFormat="1" ht="67.5" customHeight="1" outlineLevel="1" x14ac:dyDescent="0.2">
      <c r="A27" s="488"/>
      <c r="B27" s="611">
        <v>7</v>
      </c>
      <c r="C27" s="611" t="s">
        <v>325</v>
      </c>
      <c r="D27" s="612" t="s">
        <v>521</v>
      </c>
      <c r="E27" s="676">
        <v>576548</v>
      </c>
      <c r="F27" s="676"/>
      <c r="G27" s="676"/>
      <c r="H27" s="676">
        <f t="shared" ref="H27:H52" si="7">E27+F27+G27</f>
        <v>576548</v>
      </c>
      <c r="I27" s="823">
        <f t="shared" ref="I27:I51" si="8">+H27/1.11</f>
        <v>519412.61261261255</v>
      </c>
      <c r="J27" s="613" t="s">
        <v>332</v>
      </c>
      <c r="K27" s="688">
        <f t="shared" ref="K27:K51" si="9">+H27</f>
        <v>576548</v>
      </c>
      <c r="L27" s="614">
        <v>0</v>
      </c>
      <c r="M27" s="614">
        <f t="shared" si="3"/>
        <v>69185.759999999995</v>
      </c>
      <c r="N27" s="614">
        <v>0</v>
      </c>
      <c r="O27" s="614">
        <f>+K27+M27+N27</f>
        <v>645733.76</v>
      </c>
      <c r="P27" s="615" t="s">
        <v>291</v>
      </c>
      <c r="Q27" s="615" t="s">
        <v>296</v>
      </c>
      <c r="R27" s="615" t="s">
        <v>298</v>
      </c>
      <c r="S27" s="615" t="s">
        <v>302</v>
      </c>
      <c r="T27" s="615" t="s">
        <v>233</v>
      </c>
      <c r="U27" s="616">
        <f>+K27/O27</f>
        <v>0.89285714285714279</v>
      </c>
      <c r="V27" s="616">
        <v>0</v>
      </c>
      <c r="W27" s="616">
        <f>+M27/O27</f>
        <v>0.10714285714285714</v>
      </c>
      <c r="X27" s="616">
        <v>0</v>
      </c>
      <c r="Y27" s="616">
        <f>+U27+W27</f>
        <v>0.99999999999999989</v>
      </c>
      <c r="Z27" s="617" t="s">
        <v>515</v>
      </c>
      <c r="AA27" s="617" t="s">
        <v>517</v>
      </c>
      <c r="AB27" s="617" t="s">
        <v>650</v>
      </c>
      <c r="AC27" s="617" t="s">
        <v>655</v>
      </c>
      <c r="AD27" s="814" t="s">
        <v>356</v>
      </c>
      <c r="AE27" s="706" t="s">
        <v>557</v>
      </c>
      <c r="AF27" s="488"/>
      <c r="AG27" s="488"/>
      <c r="AH27" s="488"/>
      <c r="AI27" s="488"/>
      <c r="AJ27" s="488"/>
      <c r="AK27" s="488"/>
      <c r="AL27" s="488"/>
      <c r="AM27" s="488"/>
      <c r="AN27" s="488"/>
      <c r="AO27" s="488"/>
      <c r="AP27" s="488"/>
      <c r="AQ27" s="488"/>
      <c r="AR27" s="488"/>
      <c r="AS27" s="488"/>
      <c r="AT27" s="488"/>
      <c r="AU27" s="488"/>
      <c r="AV27" s="488"/>
      <c r="AW27" s="488"/>
      <c r="AX27" s="488"/>
      <c r="AY27" s="488"/>
      <c r="AZ27" s="488"/>
      <c r="BA27" s="488"/>
      <c r="BB27" s="488"/>
      <c r="BC27" s="488"/>
      <c r="BD27" s="488"/>
      <c r="BE27" s="488"/>
      <c r="BF27" s="488"/>
      <c r="BG27" s="488"/>
      <c r="BH27" s="488"/>
      <c r="BI27" s="488"/>
      <c r="BJ27" s="488"/>
      <c r="BK27" s="488"/>
      <c r="BL27" s="488"/>
      <c r="BM27" s="488"/>
      <c r="BN27" s="488"/>
      <c r="BO27" s="488"/>
      <c r="BP27" s="488"/>
    </row>
    <row r="28" spans="1:76" s="831" customFormat="1" ht="90.75" customHeight="1" outlineLevel="1" x14ac:dyDescent="0.2">
      <c r="A28" s="488"/>
      <c r="B28" s="611">
        <v>8</v>
      </c>
      <c r="C28" s="611" t="s">
        <v>325</v>
      </c>
      <c r="D28" s="773" t="s">
        <v>540</v>
      </c>
      <c r="E28" s="676">
        <v>50025.55</v>
      </c>
      <c r="F28" s="676"/>
      <c r="G28" s="676"/>
      <c r="H28" s="676">
        <f t="shared" si="7"/>
        <v>50025.55</v>
      </c>
      <c r="I28" s="857">
        <f t="shared" si="8"/>
        <v>45068.063063063062</v>
      </c>
      <c r="J28" s="613" t="s">
        <v>332</v>
      </c>
      <c r="K28" s="858">
        <f t="shared" si="9"/>
        <v>50025.55</v>
      </c>
      <c r="L28" s="859">
        <v>0</v>
      </c>
      <c r="M28" s="859">
        <f t="shared" si="3"/>
        <v>6003.0659999999998</v>
      </c>
      <c r="N28" s="859">
        <v>0</v>
      </c>
      <c r="O28" s="859">
        <f t="shared" ref="O28:O51" si="10">+K28+M28+N28</f>
        <v>56028.616000000002</v>
      </c>
      <c r="P28" s="615" t="s">
        <v>291</v>
      </c>
      <c r="Q28" s="615" t="s">
        <v>295</v>
      </c>
      <c r="R28" s="615" t="s">
        <v>304</v>
      </c>
      <c r="S28" s="615" t="s">
        <v>306</v>
      </c>
      <c r="T28" s="615" t="s">
        <v>233</v>
      </c>
      <c r="U28" s="616">
        <f t="shared" ref="U28:U86" si="11">+K28/O28</f>
        <v>0.8928571428571429</v>
      </c>
      <c r="V28" s="616">
        <v>0</v>
      </c>
      <c r="W28" s="616">
        <f t="shared" ref="W28" si="12">+M28/O28</f>
        <v>0.10714285714285714</v>
      </c>
      <c r="X28" s="616">
        <v>0</v>
      </c>
      <c r="Y28" s="616">
        <f t="shared" ref="Y28" si="13">+U28+W28</f>
        <v>1</v>
      </c>
      <c r="Z28" s="617" t="s">
        <v>397</v>
      </c>
      <c r="AA28" s="617" t="s">
        <v>510</v>
      </c>
      <c r="AB28" s="617" t="s">
        <v>650</v>
      </c>
      <c r="AC28" s="617" t="s">
        <v>655</v>
      </c>
      <c r="AD28" s="814" t="s">
        <v>356</v>
      </c>
      <c r="AE28" s="711" t="s">
        <v>543</v>
      </c>
      <c r="AF28" s="488"/>
      <c r="AG28" s="488"/>
      <c r="AH28" s="488"/>
      <c r="AI28" s="488"/>
      <c r="AJ28" s="488"/>
      <c r="AK28" s="488"/>
      <c r="AL28" s="488"/>
      <c r="AM28" s="488"/>
      <c r="AN28" s="488"/>
      <c r="AO28" s="488"/>
      <c r="AP28" s="488"/>
      <c r="AQ28" s="488"/>
      <c r="AR28" s="488"/>
      <c r="AS28" s="488"/>
      <c r="AT28" s="488"/>
      <c r="AU28" s="488"/>
      <c r="AV28" s="488"/>
      <c r="AW28" s="488"/>
      <c r="AX28" s="488"/>
      <c r="AY28" s="488"/>
      <c r="AZ28" s="488"/>
      <c r="BA28" s="488"/>
      <c r="BB28" s="488"/>
      <c r="BC28" s="488"/>
      <c r="BD28" s="488"/>
      <c r="BE28" s="488"/>
      <c r="BF28" s="488"/>
      <c r="BG28" s="488"/>
      <c r="BH28" s="488"/>
      <c r="BI28" s="488"/>
      <c r="BJ28" s="488"/>
      <c r="BK28" s="488"/>
      <c r="BL28" s="488"/>
      <c r="BM28" s="488"/>
      <c r="BN28" s="488"/>
      <c r="BO28" s="488"/>
      <c r="BP28" s="488"/>
    </row>
    <row r="29" spans="1:76" ht="57.75" customHeight="1" outlineLevel="1" x14ac:dyDescent="0.2">
      <c r="A29" s="494"/>
      <c r="B29" s="611">
        <v>9</v>
      </c>
      <c r="C29" s="509" t="s">
        <v>325</v>
      </c>
      <c r="D29" s="661" t="s">
        <v>589</v>
      </c>
      <c r="E29" s="676">
        <v>12250</v>
      </c>
      <c r="F29" s="676"/>
      <c r="G29" s="676"/>
      <c r="H29" s="677">
        <f t="shared" si="7"/>
        <v>12250</v>
      </c>
      <c r="I29" s="606">
        <f t="shared" si="8"/>
        <v>11036.036036036036</v>
      </c>
      <c r="J29" s="607" t="s">
        <v>332</v>
      </c>
      <c r="K29" s="685">
        <f t="shared" si="9"/>
        <v>12250</v>
      </c>
      <c r="L29" s="605">
        <v>0</v>
      </c>
      <c r="M29" s="605">
        <f t="shared" ref="M29:M34" si="14">+K29*0.12</f>
        <v>1470</v>
      </c>
      <c r="N29" s="605">
        <v>0</v>
      </c>
      <c r="O29" s="614">
        <f t="shared" si="10"/>
        <v>13720</v>
      </c>
      <c r="P29" s="704" t="s">
        <v>291</v>
      </c>
      <c r="Q29" s="608" t="s">
        <v>273</v>
      </c>
      <c r="R29" s="608" t="s">
        <v>299</v>
      </c>
      <c r="S29" s="704" t="s">
        <v>273</v>
      </c>
      <c r="T29" s="608" t="s">
        <v>241</v>
      </c>
      <c r="U29" s="609">
        <f t="shared" ref="U29:U31" si="15">+K29/O29</f>
        <v>0.8928571428571429</v>
      </c>
      <c r="V29" s="609">
        <v>0</v>
      </c>
      <c r="W29" s="609">
        <f t="shared" ref="W29:W31" si="16">+M29/O29</f>
        <v>0.10714285714285714</v>
      </c>
      <c r="X29" s="609">
        <v>0</v>
      </c>
      <c r="Y29" s="609">
        <f t="shared" ref="Y29:Y31" si="17">+U29+W29</f>
        <v>1</v>
      </c>
      <c r="Z29" s="610" t="s">
        <v>397</v>
      </c>
      <c r="AA29" s="617" t="s">
        <v>662</v>
      </c>
      <c r="AB29" s="617" t="s">
        <v>662</v>
      </c>
      <c r="AC29" s="610" t="s">
        <v>660</v>
      </c>
      <c r="AD29" s="813" t="s">
        <v>679</v>
      </c>
      <c r="AE29" s="632" t="s">
        <v>558</v>
      </c>
    </row>
    <row r="30" spans="1:76" ht="63.75" outlineLevel="1" x14ac:dyDescent="0.2">
      <c r="A30" s="494"/>
      <c r="B30" s="611">
        <v>10</v>
      </c>
      <c r="C30" s="824" t="s">
        <v>325</v>
      </c>
      <c r="D30" s="642" t="s">
        <v>533</v>
      </c>
      <c r="E30" s="676">
        <v>10000</v>
      </c>
      <c r="F30" s="676"/>
      <c r="G30" s="676"/>
      <c r="H30" s="677">
        <f t="shared" si="7"/>
        <v>10000</v>
      </c>
      <c r="I30" s="823">
        <f t="shared" si="8"/>
        <v>9009.0090090090089</v>
      </c>
      <c r="J30" s="613" t="s">
        <v>332</v>
      </c>
      <c r="K30" s="688">
        <f t="shared" si="9"/>
        <v>10000</v>
      </c>
      <c r="L30" s="614">
        <v>0</v>
      </c>
      <c r="M30" s="614">
        <f t="shared" si="14"/>
        <v>1200</v>
      </c>
      <c r="N30" s="614">
        <v>0</v>
      </c>
      <c r="O30" s="614">
        <f t="shared" si="10"/>
        <v>11200</v>
      </c>
      <c r="P30" s="776" t="s">
        <v>291</v>
      </c>
      <c r="Q30" s="615" t="s">
        <v>273</v>
      </c>
      <c r="R30" s="615" t="s">
        <v>299</v>
      </c>
      <c r="S30" s="776" t="s">
        <v>273</v>
      </c>
      <c r="T30" s="615" t="s">
        <v>241</v>
      </c>
      <c r="U30" s="616">
        <f t="shared" si="15"/>
        <v>0.8928571428571429</v>
      </c>
      <c r="V30" s="616">
        <v>0</v>
      </c>
      <c r="W30" s="616">
        <f t="shared" si="16"/>
        <v>0.10714285714285714</v>
      </c>
      <c r="X30" s="616">
        <v>0</v>
      </c>
      <c r="Y30" s="616">
        <f t="shared" si="17"/>
        <v>1</v>
      </c>
      <c r="Z30" s="617" t="s">
        <v>397</v>
      </c>
      <c r="AA30" s="617" t="s">
        <v>510</v>
      </c>
      <c r="AB30" s="617" t="s">
        <v>510</v>
      </c>
      <c r="AC30" s="617" t="s">
        <v>650</v>
      </c>
      <c r="AD30" s="826" t="s">
        <v>671</v>
      </c>
      <c r="AE30" s="642" t="s">
        <v>556</v>
      </c>
    </row>
    <row r="31" spans="1:76" ht="63.75" outlineLevel="1" x14ac:dyDescent="0.2">
      <c r="A31" s="494"/>
      <c r="B31" s="611">
        <v>11</v>
      </c>
      <c r="C31" s="824" t="s">
        <v>325</v>
      </c>
      <c r="D31" s="642" t="s">
        <v>595</v>
      </c>
      <c r="E31" s="676">
        <v>14000</v>
      </c>
      <c r="F31" s="676"/>
      <c r="G31" s="676"/>
      <c r="H31" s="677">
        <f t="shared" si="7"/>
        <v>14000</v>
      </c>
      <c r="I31" s="823">
        <f t="shared" si="8"/>
        <v>12612.612612612611</v>
      </c>
      <c r="J31" s="613" t="s">
        <v>332</v>
      </c>
      <c r="K31" s="688">
        <f t="shared" si="9"/>
        <v>14000</v>
      </c>
      <c r="L31" s="614">
        <v>0</v>
      </c>
      <c r="M31" s="614">
        <f t="shared" si="14"/>
        <v>1680</v>
      </c>
      <c r="N31" s="614">
        <v>0</v>
      </c>
      <c r="O31" s="614">
        <f t="shared" si="10"/>
        <v>15680</v>
      </c>
      <c r="P31" s="776" t="s">
        <v>291</v>
      </c>
      <c r="Q31" s="615" t="s">
        <v>273</v>
      </c>
      <c r="R31" s="615" t="s">
        <v>299</v>
      </c>
      <c r="S31" s="776" t="s">
        <v>273</v>
      </c>
      <c r="T31" s="615" t="s">
        <v>241</v>
      </c>
      <c r="U31" s="616">
        <f t="shared" si="15"/>
        <v>0.8928571428571429</v>
      </c>
      <c r="V31" s="616">
        <v>0</v>
      </c>
      <c r="W31" s="616">
        <f t="shared" si="16"/>
        <v>0.10714285714285714</v>
      </c>
      <c r="X31" s="616">
        <v>0</v>
      </c>
      <c r="Y31" s="616">
        <f t="shared" si="17"/>
        <v>1</v>
      </c>
      <c r="Z31" s="617" t="s">
        <v>397</v>
      </c>
      <c r="AA31" s="617" t="s">
        <v>662</v>
      </c>
      <c r="AB31" s="617" t="s">
        <v>662</v>
      </c>
      <c r="AC31" s="610" t="s">
        <v>660</v>
      </c>
      <c r="AD31" s="826" t="s">
        <v>678</v>
      </c>
      <c r="AE31" s="642" t="s">
        <v>556</v>
      </c>
    </row>
    <row r="32" spans="1:76" s="820" customFormat="1" ht="63" customHeight="1" outlineLevel="1" x14ac:dyDescent="0.2">
      <c r="A32" s="494"/>
      <c r="B32" s="611">
        <v>12</v>
      </c>
      <c r="C32" s="824" t="s">
        <v>325</v>
      </c>
      <c r="D32" s="825" t="s">
        <v>624</v>
      </c>
      <c r="E32" s="676">
        <v>15000</v>
      </c>
      <c r="F32" s="676"/>
      <c r="G32" s="676"/>
      <c r="H32" s="677">
        <f t="shared" si="7"/>
        <v>15000</v>
      </c>
      <c r="I32" s="823">
        <f t="shared" si="8"/>
        <v>13513.513513513511</v>
      </c>
      <c r="J32" s="613" t="s">
        <v>332</v>
      </c>
      <c r="K32" s="688">
        <f t="shared" si="9"/>
        <v>15000</v>
      </c>
      <c r="L32" s="614">
        <v>0</v>
      </c>
      <c r="M32" s="614">
        <f t="shared" si="14"/>
        <v>1800</v>
      </c>
      <c r="N32" s="614">
        <v>0</v>
      </c>
      <c r="O32" s="614">
        <f>+K32+M32+N32</f>
        <v>16800</v>
      </c>
      <c r="P32" s="776" t="s">
        <v>291</v>
      </c>
      <c r="Q32" s="615" t="s">
        <v>273</v>
      </c>
      <c r="R32" s="776" t="s">
        <v>299</v>
      </c>
      <c r="S32" s="776" t="s">
        <v>273</v>
      </c>
      <c r="T32" s="615" t="s">
        <v>241</v>
      </c>
      <c r="U32" s="616">
        <f>+K32/O32</f>
        <v>0.8928571428571429</v>
      </c>
      <c r="V32" s="616">
        <v>0</v>
      </c>
      <c r="W32" s="616">
        <f>+M32/O32</f>
        <v>0.10714285714285714</v>
      </c>
      <c r="X32" s="616">
        <v>0</v>
      </c>
      <c r="Y32" s="616">
        <f>+U32+W32</f>
        <v>1</v>
      </c>
      <c r="Z32" s="617" t="s">
        <v>397</v>
      </c>
      <c r="AA32" s="617" t="s">
        <v>630</v>
      </c>
      <c r="AB32" s="617" t="s">
        <v>652</v>
      </c>
      <c r="AC32" s="617" t="s">
        <v>659</v>
      </c>
      <c r="AD32" s="826" t="s">
        <v>330</v>
      </c>
      <c r="AE32" s="642" t="s">
        <v>556</v>
      </c>
      <c r="AF32" s="491"/>
      <c r="AG32" s="491"/>
      <c r="AH32" s="491"/>
      <c r="AI32" s="491"/>
      <c r="AJ32" s="491"/>
      <c r="AK32" s="491"/>
      <c r="AL32" s="491"/>
      <c r="AM32" s="491"/>
      <c r="AN32" s="491"/>
      <c r="AO32" s="491"/>
      <c r="AP32" s="491"/>
      <c r="AQ32" s="491"/>
      <c r="AR32" s="491"/>
      <c r="AS32" s="491"/>
      <c r="AT32" s="491"/>
      <c r="AU32" s="491"/>
      <c r="AV32" s="491"/>
      <c r="AW32" s="491"/>
      <c r="AX32" s="491"/>
      <c r="AY32" s="491"/>
      <c r="AZ32" s="491"/>
      <c r="BA32" s="491"/>
      <c r="BB32" s="491"/>
      <c r="BC32" s="491"/>
      <c r="BD32" s="491"/>
      <c r="BE32" s="491"/>
      <c r="BF32" s="491"/>
      <c r="BG32" s="491"/>
      <c r="BH32" s="491"/>
      <c r="BI32" s="491"/>
      <c r="BJ32" s="491"/>
      <c r="BK32" s="491"/>
      <c r="BL32" s="491"/>
      <c r="BM32" s="491"/>
      <c r="BN32" s="491"/>
      <c r="BO32" s="491"/>
      <c r="BP32" s="491"/>
      <c r="BQ32" s="491"/>
      <c r="BR32" s="491"/>
      <c r="BS32" s="491"/>
      <c r="BT32" s="491"/>
      <c r="BU32" s="491"/>
      <c r="BV32" s="491"/>
      <c r="BW32" s="491"/>
      <c r="BX32" s="491"/>
    </row>
    <row r="33" spans="1:76" s="820" customFormat="1" ht="72.75" customHeight="1" outlineLevel="1" x14ac:dyDescent="0.2">
      <c r="A33" s="494"/>
      <c r="B33" s="611">
        <v>13</v>
      </c>
      <c r="C33" s="824" t="s">
        <v>325</v>
      </c>
      <c r="D33" s="825" t="s">
        <v>623</v>
      </c>
      <c r="E33" s="676">
        <v>15000</v>
      </c>
      <c r="F33" s="676"/>
      <c r="G33" s="676"/>
      <c r="H33" s="677">
        <f t="shared" si="7"/>
        <v>15000</v>
      </c>
      <c r="I33" s="823">
        <f t="shared" si="8"/>
        <v>13513.513513513511</v>
      </c>
      <c r="J33" s="613" t="s">
        <v>332</v>
      </c>
      <c r="K33" s="688">
        <f t="shared" si="9"/>
        <v>15000</v>
      </c>
      <c r="L33" s="614">
        <v>0</v>
      </c>
      <c r="M33" s="614">
        <f t="shared" si="14"/>
        <v>1800</v>
      </c>
      <c r="N33" s="614">
        <v>0</v>
      </c>
      <c r="O33" s="614">
        <f t="shared" ref="O33" si="18">+K33+M33+N33</f>
        <v>16800</v>
      </c>
      <c r="P33" s="776" t="s">
        <v>291</v>
      </c>
      <c r="Q33" s="615" t="s">
        <v>273</v>
      </c>
      <c r="R33" s="615" t="s">
        <v>299</v>
      </c>
      <c r="S33" s="776" t="s">
        <v>273</v>
      </c>
      <c r="T33" s="615" t="s">
        <v>241</v>
      </c>
      <c r="U33" s="616">
        <f t="shared" ref="U33" si="19">+K33/O33</f>
        <v>0.8928571428571429</v>
      </c>
      <c r="V33" s="616">
        <v>0</v>
      </c>
      <c r="W33" s="616">
        <f t="shared" ref="W33" si="20">+M33/O33</f>
        <v>0.10714285714285714</v>
      </c>
      <c r="X33" s="616">
        <v>0</v>
      </c>
      <c r="Y33" s="616">
        <f t="shared" ref="Y33" si="21">+U33+W33</f>
        <v>1</v>
      </c>
      <c r="Z33" s="617" t="s">
        <v>397</v>
      </c>
      <c r="AA33" s="617" t="s">
        <v>630</v>
      </c>
      <c r="AB33" s="617" t="s">
        <v>652</v>
      </c>
      <c r="AC33" s="617" t="s">
        <v>677</v>
      </c>
      <c r="AD33" s="826" t="s">
        <v>330</v>
      </c>
      <c r="AE33" s="642" t="s">
        <v>556</v>
      </c>
      <c r="AF33" s="491"/>
      <c r="AG33" s="491"/>
      <c r="AH33" s="491"/>
      <c r="AI33" s="491"/>
      <c r="AJ33" s="491"/>
      <c r="AK33" s="491"/>
      <c r="AL33" s="491"/>
      <c r="AM33" s="491"/>
      <c r="AN33" s="491"/>
      <c r="AO33" s="491"/>
      <c r="AP33" s="491"/>
      <c r="AQ33" s="491"/>
      <c r="AR33" s="491"/>
      <c r="AS33" s="491"/>
      <c r="AT33" s="491"/>
      <c r="AU33" s="491"/>
      <c r="AV33" s="491"/>
      <c r="AW33" s="491"/>
      <c r="AX33" s="491"/>
      <c r="AY33" s="491"/>
      <c r="AZ33" s="491"/>
      <c r="BA33" s="491"/>
      <c r="BB33" s="491"/>
      <c r="BC33" s="491"/>
      <c r="BD33" s="491"/>
      <c r="BE33" s="491"/>
      <c r="BF33" s="491"/>
      <c r="BG33" s="491"/>
      <c r="BH33" s="491"/>
      <c r="BI33" s="491"/>
      <c r="BJ33" s="491"/>
      <c r="BK33" s="491"/>
      <c r="BL33" s="491"/>
      <c r="BM33" s="491"/>
      <c r="BN33" s="491"/>
      <c r="BO33" s="491"/>
      <c r="BP33" s="491"/>
      <c r="BQ33" s="491"/>
      <c r="BR33" s="491"/>
      <c r="BS33" s="491"/>
      <c r="BT33" s="491"/>
      <c r="BU33" s="491"/>
      <c r="BV33" s="491"/>
      <c r="BW33" s="491"/>
      <c r="BX33" s="491"/>
    </row>
    <row r="34" spans="1:76" s="820" customFormat="1" ht="55.5" customHeight="1" outlineLevel="1" x14ac:dyDescent="0.2">
      <c r="A34" s="494"/>
      <c r="B34" s="611">
        <v>14</v>
      </c>
      <c r="C34" s="824" t="s">
        <v>325</v>
      </c>
      <c r="D34" s="829" t="s">
        <v>625</v>
      </c>
      <c r="E34" s="676">
        <v>15000</v>
      </c>
      <c r="F34" s="676"/>
      <c r="G34" s="676"/>
      <c r="H34" s="677">
        <f t="shared" si="7"/>
        <v>15000</v>
      </c>
      <c r="I34" s="830">
        <f t="shared" si="8"/>
        <v>13513.513513513511</v>
      </c>
      <c r="J34" s="613" t="s">
        <v>332</v>
      </c>
      <c r="K34" s="688">
        <f t="shared" si="9"/>
        <v>15000</v>
      </c>
      <c r="L34" s="614">
        <v>0</v>
      </c>
      <c r="M34" s="614">
        <f t="shared" si="14"/>
        <v>1800</v>
      </c>
      <c r="N34" s="614">
        <v>0</v>
      </c>
      <c r="O34" s="614">
        <f t="shared" ref="O34" si="22">+K34+M34+N34</f>
        <v>16800</v>
      </c>
      <c r="P34" s="776" t="s">
        <v>291</v>
      </c>
      <c r="Q34" s="615" t="s">
        <v>273</v>
      </c>
      <c r="R34" s="615" t="s">
        <v>299</v>
      </c>
      <c r="S34" s="776" t="s">
        <v>273</v>
      </c>
      <c r="T34" s="615" t="s">
        <v>241</v>
      </c>
      <c r="U34" s="616">
        <f t="shared" ref="U34" si="23">+K34/O34</f>
        <v>0.8928571428571429</v>
      </c>
      <c r="V34" s="616">
        <v>0</v>
      </c>
      <c r="W34" s="616">
        <f t="shared" ref="W34" si="24">+M34/O34</f>
        <v>0.10714285714285714</v>
      </c>
      <c r="X34" s="616">
        <v>0</v>
      </c>
      <c r="Y34" s="616">
        <f t="shared" ref="Y34" si="25">+U34+W34</f>
        <v>1</v>
      </c>
      <c r="Z34" s="617" t="s">
        <v>397</v>
      </c>
      <c r="AA34" s="617" t="s">
        <v>652</v>
      </c>
      <c r="AB34" s="617" t="s">
        <v>652</v>
      </c>
      <c r="AC34" s="617" t="s">
        <v>655</v>
      </c>
      <c r="AD34" s="826" t="s">
        <v>330</v>
      </c>
      <c r="AE34" s="642" t="s">
        <v>556</v>
      </c>
      <c r="AF34" s="491"/>
      <c r="AG34" s="491"/>
      <c r="AH34" s="491"/>
      <c r="AI34" s="491"/>
      <c r="AJ34" s="491"/>
      <c r="AK34" s="491"/>
      <c r="AL34" s="491"/>
      <c r="AM34" s="491"/>
      <c r="AN34" s="491"/>
      <c r="AO34" s="491"/>
      <c r="AP34" s="491"/>
      <c r="AQ34" s="491"/>
      <c r="AR34" s="491"/>
      <c r="AS34" s="491"/>
      <c r="AT34" s="491"/>
      <c r="AU34" s="491"/>
      <c r="AV34" s="491"/>
      <c r="AW34" s="491"/>
      <c r="AX34" s="491"/>
      <c r="AY34" s="491"/>
      <c r="AZ34" s="491"/>
      <c r="BA34" s="491"/>
      <c r="BB34" s="491"/>
      <c r="BC34" s="491"/>
      <c r="BD34" s="491"/>
      <c r="BE34" s="491"/>
      <c r="BF34" s="491"/>
      <c r="BG34" s="491"/>
      <c r="BH34" s="491"/>
      <c r="BI34" s="491"/>
      <c r="BJ34" s="491"/>
      <c r="BK34" s="491"/>
      <c r="BL34" s="491"/>
      <c r="BM34" s="491"/>
      <c r="BN34" s="491"/>
      <c r="BO34" s="491"/>
      <c r="BP34" s="491"/>
      <c r="BQ34" s="491"/>
      <c r="BR34" s="491"/>
      <c r="BS34" s="491"/>
      <c r="BT34" s="491"/>
      <c r="BU34" s="491"/>
      <c r="BV34" s="491"/>
      <c r="BW34" s="491"/>
      <c r="BX34" s="491"/>
    </row>
    <row r="35" spans="1:76" ht="52.5" customHeight="1" outlineLevel="1" x14ac:dyDescent="0.2">
      <c r="A35" s="494"/>
      <c r="B35" s="611">
        <v>15</v>
      </c>
      <c r="C35" s="509" t="s">
        <v>325</v>
      </c>
      <c r="D35" s="662" t="s">
        <v>588</v>
      </c>
      <c r="E35" s="676">
        <v>196810</v>
      </c>
      <c r="F35" s="676"/>
      <c r="G35" s="676"/>
      <c r="H35" s="677">
        <f t="shared" si="7"/>
        <v>196810</v>
      </c>
      <c r="I35" s="659">
        <f t="shared" si="8"/>
        <v>177306.3063063063</v>
      </c>
      <c r="J35" s="613" t="s">
        <v>332</v>
      </c>
      <c r="K35" s="688">
        <f t="shared" si="9"/>
        <v>196810</v>
      </c>
      <c r="L35" s="614">
        <v>0</v>
      </c>
      <c r="M35" s="614">
        <f t="shared" ref="M35:M49" si="26">+K35*0.12</f>
        <v>23617.200000000001</v>
      </c>
      <c r="N35" s="614">
        <v>0</v>
      </c>
      <c r="O35" s="614">
        <f t="shared" si="10"/>
        <v>220427.2</v>
      </c>
      <c r="P35" s="608" t="s">
        <v>291</v>
      </c>
      <c r="Q35" s="608" t="s">
        <v>295</v>
      </c>
      <c r="R35" s="608" t="s">
        <v>304</v>
      </c>
      <c r="S35" s="608" t="s">
        <v>302</v>
      </c>
      <c r="T35" s="608" t="s">
        <v>233</v>
      </c>
      <c r="U35" s="616"/>
      <c r="V35" s="616"/>
      <c r="W35" s="616"/>
      <c r="X35" s="616"/>
      <c r="Y35" s="616"/>
      <c r="Z35" s="610" t="s">
        <v>397</v>
      </c>
      <c r="AA35" s="617" t="s">
        <v>652</v>
      </c>
      <c r="AB35" s="617" t="s">
        <v>652</v>
      </c>
      <c r="AC35" s="610" t="s">
        <v>659</v>
      </c>
      <c r="AD35" s="802" t="s">
        <v>330</v>
      </c>
      <c r="AE35" s="632" t="s">
        <v>559</v>
      </c>
    </row>
    <row r="36" spans="1:76" ht="69.75" customHeight="1" outlineLevel="1" x14ac:dyDescent="0.2">
      <c r="A36" s="494"/>
      <c r="B36" s="611">
        <v>16</v>
      </c>
      <c r="C36" s="509" t="s">
        <v>325</v>
      </c>
      <c r="D36" s="662" t="s">
        <v>526</v>
      </c>
      <c r="E36" s="676">
        <v>390000</v>
      </c>
      <c r="F36" s="676"/>
      <c r="G36" s="676"/>
      <c r="H36" s="677">
        <f t="shared" si="7"/>
        <v>390000</v>
      </c>
      <c r="I36" s="659">
        <f t="shared" si="8"/>
        <v>351351.3513513513</v>
      </c>
      <c r="J36" s="613" t="s">
        <v>332</v>
      </c>
      <c r="K36" s="688">
        <f t="shared" si="9"/>
        <v>390000</v>
      </c>
      <c r="L36" s="614">
        <v>0</v>
      </c>
      <c r="M36" s="614">
        <f t="shared" si="26"/>
        <v>46800</v>
      </c>
      <c r="N36" s="614">
        <v>0</v>
      </c>
      <c r="O36" s="614">
        <f t="shared" si="10"/>
        <v>436800</v>
      </c>
      <c r="P36" s="608" t="s">
        <v>291</v>
      </c>
      <c r="Q36" s="608" t="s">
        <v>296</v>
      </c>
      <c r="R36" s="608" t="s">
        <v>298</v>
      </c>
      <c r="S36" s="608" t="s">
        <v>302</v>
      </c>
      <c r="T36" s="615" t="s">
        <v>233</v>
      </c>
      <c r="U36" s="616"/>
      <c r="V36" s="616"/>
      <c r="W36" s="616"/>
      <c r="X36" s="616"/>
      <c r="Y36" s="616"/>
      <c r="Z36" s="610" t="s">
        <v>650</v>
      </c>
      <c r="AA36" s="610" t="s">
        <v>630</v>
      </c>
      <c r="AB36" s="610" t="s">
        <v>630</v>
      </c>
      <c r="AC36" s="610" t="s">
        <v>655</v>
      </c>
      <c r="AD36" s="802" t="s">
        <v>330</v>
      </c>
      <c r="AE36" s="642" t="s">
        <v>556</v>
      </c>
    </row>
    <row r="37" spans="1:76" ht="45" customHeight="1" outlineLevel="1" x14ac:dyDescent="0.2">
      <c r="A37" s="494"/>
      <c r="B37" s="611">
        <v>17</v>
      </c>
      <c r="C37" s="509" t="s">
        <v>325</v>
      </c>
      <c r="D37" s="701" t="s">
        <v>530</v>
      </c>
      <c r="E37" s="676">
        <v>480000</v>
      </c>
      <c r="F37" s="676"/>
      <c r="G37" s="676"/>
      <c r="H37" s="677">
        <f t="shared" si="7"/>
        <v>480000</v>
      </c>
      <c r="I37" s="659">
        <f t="shared" si="8"/>
        <v>432432.43243243237</v>
      </c>
      <c r="J37" s="613" t="s">
        <v>332</v>
      </c>
      <c r="K37" s="688">
        <f t="shared" si="9"/>
        <v>480000</v>
      </c>
      <c r="L37" s="614">
        <v>0</v>
      </c>
      <c r="M37" s="614">
        <f t="shared" si="26"/>
        <v>57600</v>
      </c>
      <c r="N37" s="614">
        <v>0</v>
      </c>
      <c r="O37" s="614">
        <f t="shared" si="10"/>
        <v>537600</v>
      </c>
      <c r="P37" s="608" t="s">
        <v>291</v>
      </c>
      <c r="Q37" s="608" t="s">
        <v>296</v>
      </c>
      <c r="R37" s="608" t="s">
        <v>298</v>
      </c>
      <c r="S37" s="608" t="s">
        <v>302</v>
      </c>
      <c r="T37" s="615" t="s">
        <v>233</v>
      </c>
      <c r="U37" s="616"/>
      <c r="V37" s="616"/>
      <c r="W37" s="616"/>
      <c r="X37" s="616"/>
      <c r="Y37" s="616"/>
      <c r="Z37" s="610" t="s">
        <v>650</v>
      </c>
      <c r="AA37" s="610" t="s">
        <v>630</v>
      </c>
      <c r="AB37" s="610" t="s">
        <v>630</v>
      </c>
      <c r="AC37" s="610" t="s">
        <v>655</v>
      </c>
      <c r="AD37" s="802" t="s">
        <v>330</v>
      </c>
      <c r="AE37" s="642" t="s">
        <v>556</v>
      </c>
    </row>
    <row r="38" spans="1:76" s="820" customFormat="1" ht="67.5" customHeight="1" outlineLevel="1" x14ac:dyDescent="0.2">
      <c r="A38" s="494"/>
      <c r="B38" s="611">
        <v>18</v>
      </c>
      <c r="C38" s="824" t="s">
        <v>325</v>
      </c>
      <c r="D38" s="705" t="s">
        <v>637</v>
      </c>
      <c r="E38" s="676"/>
      <c r="F38" s="676">
        <v>460000</v>
      </c>
      <c r="G38" s="676"/>
      <c r="H38" s="677">
        <f t="shared" si="7"/>
        <v>460000</v>
      </c>
      <c r="I38" s="828">
        <f t="shared" si="8"/>
        <v>414414.41441441438</v>
      </c>
      <c r="J38" s="613" t="s">
        <v>333</v>
      </c>
      <c r="K38" s="688">
        <f t="shared" si="9"/>
        <v>460000</v>
      </c>
      <c r="L38" s="614">
        <v>0</v>
      </c>
      <c r="M38" s="614">
        <v>0</v>
      </c>
      <c r="N38" s="614">
        <f>+(K38*1)*0.12</f>
        <v>55200</v>
      </c>
      <c r="O38" s="614">
        <f>+K38+M38+N38</f>
        <v>515200</v>
      </c>
      <c r="P38" s="615" t="s">
        <v>271</v>
      </c>
      <c r="Q38" s="615" t="s">
        <v>296</v>
      </c>
      <c r="R38" s="776" t="s">
        <v>585</v>
      </c>
      <c r="S38" s="615" t="s">
        <v>504</v>
      </c>
      <c r="T38" s="615" t="s">
        <v>233</v>
      </c>
      <c r="U38" s="616"/>
      <c r="V38" s="616"/>
      <c r="W38" s="616"/>
      <c r="X38" s="616"/>
      <c r="Y38" s="616"/>
      <c r="Z38" s="610" t="s">
        <v>650</v>
      </c>
      <c r="AA38" s="610" t="s">
        <v>630</v>
      </c>
      <c r="AB38" s="610" t="s">
        <v>630</v>
      </c>
      <c r="AC38" s="610" t="s">
        <v>655</v>
      </c>
      <c r="AD38" s="814" t="s">
        <v>330</v>
      </c>
      <c r="AE38" s="642" t="s">
        <v>553</v>
      </c>
      <c r="AF38" s="491"/>
      <c r="AG38" s="491"/>
      <c r="AH38" s="491"/>
      <c r="AI38" s="491"/>
      <c r="AJ38" s="491"/>
      <c r="AK38" s="491"/>
      <c r="AL38" s="491"/>
      <c r="AM38" s="491"/>
      <c r="AN38" s="491"/>
      <c r="AO38" s="491"/>
      <c r="AP38" s="491"/>
      <c r="AQ38" s="491"/>
      <c r="AR38" s="491"/>
      <c r="AS38" s="491"/>
      <c r="AT38" s="491"/>
      <c r="AU38" s="491"/>
      <c r="AV38" s="491"/>
      <c r="AW38" s="491"/>
      <c r="AX38" s="491"/>
      <c r="AY38" s="491"/>
      <c r="AZ38" s="491"/>
      <c r="BA38" s="491"/>
      <c r="BB38" s="491"/>
      <c r="BC38" s="491"/>
      <c r="BD38" s="491"/>
      <c r="BE38" s="491"/>
      <c r="BF38" s="491"/>
      <c r="BG38" s="491"/>
      <c r="BH38" s="491"/>
      <c r="BI38" s="491"/>
      <c r="BJ38" s="491"/>
      <c r="BK38" s="491"/>
      <c r="BL38" s="491"/>
      <c r="BM38" s="491"/>
      <c r="BN38" s="491"/>
      <c r="BO38" s="491"/>
      <c r="BP38" s="491"/>
      <c r="BQ38" s="491"/>
      <c r="BR38" s="491"/>
      <c r="BS38" s="491"/>
      <c r="BT38" s="491"/>
      <c r="BU38" s="491"/>
      <c r="BV38" s="491"/>
      <c r="BW38" s="491"/>
      <c r="BX38" s="491"/>
    </row>
    <row r="39" spans="1:76" s="820" customFormat="1" ht="67.5" customHeight="1" outlineLevel="1" x14ac:dyDescent="0.2">
      <c r="A39" s="494"/>
      <c r="B39" s="611">
        <v>19</v>
      </c>
      <c r="C39" s="824" t="s">
        <v>325</v>
      </c>
      <c r="D39" s="705" t="s">
        <v>636</v>
      </c>
      <c r="E39" s="676"/>
      <c r="F39" s="676">
        <v>33100</v>
      </c>
      <c r="G39" s="676"/>
      <c r="H39" s="677">
        <f t="shared" si="7"/>
        <v>33100</v>
      </c>
      <c r="I39" s="828">
        <f t="shared" si="8"/>
        <v>29819.819819819819</v>
      </c>
      <c r="J39" s="613" t="s">
        <v>333</v>
      </c>
      <c r="K39" s="688">
        <f t="shared" si="9"/>
        <v>33100</v>
      </c>
      <c r="L39" s="614">
        <v>0</v>
      </c>
      <c r="M39" s="614">
        <v>0</v>
      </c>
      <c r="N39" s="614">
        <f>33100*0.12</f>
        <v>3972</v>
      </c>
      <c r="O39" s="614">
        <f>K39+L39+M39+N39</f>
        <v>37072</v>
      </c>
      <c r="P39" s="615" t="s">
        <v>271</v>
      </c>
      <c r="Q39" s="615" t="s">
        <v>295</v>
      </c>
      <c r="R39" s="776" t="s">
        <v>354</v>
      </c>
      <c r="S39" s="615" t="s">
        <v>523</v>
      </c>
      <c r="T39" s="615" t="s">
        <v>233</v>
      </c>
      <c r="U39" s="616"/>
      <c r="V39" s="616"/>
      <c r="W39" s="616"/>
      <c r="X39" s="616"/>
      <c r="Y39" s="616"/>
      <c r="Z39" s="617" t="s">
        <v>273</v>
      </c>
      <c r="AA39" s="617" t="s">
        <v>630</v>
      </c>
      <c r="AB39" s="617" t="s">
        <v>652</v>
      </c>
      <c r="AC39" s="617" t="s">
        <v>652</v>
      </c>
      <c r="AD39" s="814" t="s">
        <v>330</v>
      </c>
      <c r="AE39" s="642" t="s">
        <v>556</v>
      </c>
      <c r="AF39" s="491"/>
      <c r="AG39" s="491"/>
      <c r="AH39" s="491"/>
      <c r="AI39" s="491"/>
      <c r="AJ39" s="491"/>
      <c r="AK39" s="491"/>
      <c r="AL39" s="491"/>
      <c r="AM39" s="491"/>
      <c r="AN39" s="491"/>
      <c r="AO39" s="491"/>
      <c r="AP39" s="491"/>
      <c r="AQ39" s="491"/>
      <c r="AR39" s="491"/>
      <c r="AS39" s="491"/>
      <c r="AT39" s="491"/>
      <c r="AU39" s="491"/>
      <c r="AV39" s="491"/>
      <c r="AW39" s="491"/>
      <c r="AX39" s="491"/>
      <c r="AY39" s="491"/>
      <c r="AZ39" s="491"/>
      <c r="BA39" s="491"/>
      <c r="BB39" s="491"/>
      <c r="BC39" s="491"/>
      <c r="BD39" s="491"/>
      <c r="BE39" s="491"/>
      <c r="BF39" s="491"/>
      <c r="BG39" s="491"/>
      <c r="BH39" s="491"/>
      <c r="BI39" s="491"/>
      <c r="BJ39" s="491"/>
      <c r="BK39" s="491"/>
      <c r="BL39" s="491"/>
      <c r="BM39" s="491"/>
      <c r="BN39" s="491"/>
      <c r="BO39" s="491"/>
      <c r="BP39" s="491"/>
      <c r="BQ39" s="491"/>
      <c r="BR39" s="491"/>
      <c r="BS39" s="491"/>
      <c r="BT39" s="491"/>
      <c r="BU39" s="491"/>
      <c r="BV39" s="491"/>
      <c r="BW39" s="491"/>
      <c r="BX39" s="491"/>
    </row>
    <row r="40" spans="1:76" ht="47.25" customHeight="1" outlineLevel="1" x14ac:dyDescent="0.2">
      <c r="A40" s="494"/>
      <c r="B40" s="611">
        <v>20</v>
      </c>
      <c r="C40" s="509" t="s">
        <v>325</v>
      </c>
      <c r="D40" s="701" t="s">
        <v>598</v>
      </c>
      <c r="E40" s="676">
        <v>500000</v>
      </c>
      <c r="F40" s="676"/>
      <c r="G40" s="676"/>
      <c r="H40" s="677">
        <f t="shared" si="7"/>
        <v>500000</v>
      </c>
      <c r="I40" s="659">
        <f t="shared" si="8"/>
        <v>450450.45045045041</v>
      </c>
      <c r="J40" s="613" t="s">
        <v>332</v>
      </c>
      <c r="K40" s="688">
        <f t="shared" si="9"/>
        <v>500000</v>
      </c>
      <c r="L40" s="614">
        <v>0</v>
      </c>
      <c r="M40" s="605">
        <v>60000</v>
      </c>
      <c r="N40" s="605">
        <v>0</v>
      </c>
      <c r="O40" s="614">
        <f t="shared" si="10"/>
        <v>560000</v>
      </c>
      <c r="P40" s="615" t="s">
        <v>291</v>
      </c>
      <c r="Q40" s="615" t="s">
        <v>296</v>
      </c>
      <c r="R40" s="608" t="s">
        <v>298</v>
      </c>
      <c r="S40" s="608" t="s">
        <v>302</v>
      </c>
      <c r="T40" s="615" t="s">
        <v>233</v>
      </c>
      <c r="U40" s="616"/>
      <c r="V40" s="616"/>
      <c r="W40" s="616"/>
      <c r="X40" s="616"/>
      <c r="Y40" s="616"/>
      <c r="Z40" s="610" t="s">
        <v>650</v>
      </c>
      <c r="AA40" s="610" t="s">
        <v>650</v>
      </c>
      <c r="AB40" s="610" t="s">
        <v>630</v>
      </c>
      <c r="AC40" s="610" t="s">
        <v>659</v>
      </c>
      <c r="AD40" s="802" t="s">
        <v>330</v>
      </c>
      <c r="AE40" s="642" t="s">
        <v>554</v>
      </c>
    </row>
    <row r="41" spans="1:76" ht="45.75" customHeight="1" outlineLevel="1" x14ac:dyDescent="0.2">
      <c r="A41" s="494"/>
      <c r="B41" s="611">
        <v>21</v>
      </c>
      <c r="C41" s="509" t="s">
        <v>325</v>
      </c>
      <c r="D41" s="701" t="s">
        <v>529</v>
      </c>
      <c r="E41" s="676">
        <v>197839</v>
      </c>
      <c r="F41" s="676"/>
      <c r="G41" s="676"/>
      <c r="H41" s="677">
        <f t="shared" si="7"/>
        <v>197839</v>
      </c>
      <c r="I41" s="659">
        <f t="shared" si="8"/>
        <v>178233.33333333331</v>
      </c>
      <c r="J41" s="613" t="s">
        <v>332</v>
      </c>
      <c r="K41" s="688">
        <f t="shared" si="9"/>
        <v>197839</v>
      </c>
      <c r="L41" s="614">
        <v>0</v>
      </c>
      <c r="M41" s="614">
        <f t="shared" si="26"/>
        <v>23740.68</v>
      </c>
      <c r="N41" s="614">
        <v>0</v>
      </c>
      <c r="O41" s="614">
        <f t="shared" si="10"/>
        <v>221579.68</v>
      </c>
      <c r="P41" s="608" t="s">
        <v>291</v>
      </c>
      <c r="Q41" s="608" t="s">
        <v>295</v>
      </c>
      <c r="R41" s="608" t="s">
        <v>506</v>
      </c>
      <c r="S41" s="608" t="s">
        <v>302</v>
      </c>
      <c r="T41" s="608" t="s">
        <v>233</v>
      </c>
      <c r="U41" s="616"/>
      <c r="V41" s="616"/>
      <c r="W41" s="616"/>
      <c r="X41" s="616"/>
      <c r="Y41" s="616"/>
      <c r="Z41" s="610" t="s">
        <v>397</v>
      </c>
      <c r="AA41" s="610" t="s">
        <v>630</v>
      </c>
      <c r="AB41" s="610" t="s">
        <v>652</v>
      </c>
      <c r="AC41" s="610" t="s">
        <v>659</v>
      </c>
      <c r="AD41" s="802" t="s">
        <v>330</v>
      </c>
      <c r="AE41" s="632" t="s">
        <v>587</v>
      </c>
    </row>
    <row r="42" spans="1:76" ht="58.5" customHeight="1" outlineLevel="1" x14ac:dyDescent="0.2">
      <c r="A42" s="494"/>
      <c r="B42" s="611">
        <v>22</v>
      </c>
      <c r="C42" s="509" t="s">
        <v>325</v>
      </c>
      <c r="D42" s="662" t="s">
        <v>534</v>
      </c>
      <c r="E42" s="676">
        <v>310000</v>
      </c>
      <c r="F42" s="676"/>
      <c r="G42" s="676"/>
      <c r="H42" s="677">
        <f t="shared" si="7"/>
        <v>310000</v>
      </c>
      <c r="I42" s="659">
        <f t="shared" si="8"/>
        <v>279279.27927927923</v>
      </c>
      <c r="J42" s="707" t="s">
        <v>539</v>
      </c>
      <c r="K42" s="688">
        <f t="shared" si="9"/>
        <v>310000</v>
      </c>
      <c r="L42" s="614">
        <v>0</v>
      </c>
      <c r="M42" s="614">
        <f t="shared" si="26"/>
        <v>37200</v>
      </c>
      <c r="N42" s="614">
        <v>0</v>
      </c>
      <c r="O42" s="614">
        <f t="shared" si="10"/>
        <v>347200</v>
      </c>
      <c r="P42" s="615" t="s">
        <v>551</v>
      </c>
      <c r="Q42" s="615" t="s">
        <v>296</v>
      </c>
      <c r="R42" s="776" t="s">
        <v>585</v>
      </c>
      <c r="S42" s="615" t="s">
        <v>504</v>
      </c>
      <c r="T42" s="615" t="s">
        <v>233</v>
      </c>
      <c r="U42" s="616"/>
      <c r="V42" s="616"/>
      <c r="W42" s="616"/>
      <c r="X42" s="616"/>
      <c r="Y42" s="616"/>
      <c r="Z42" s="610" t="s">
        <v>630</v>
      </c>
      <c r="AA42" s="610" t="s">
        <v>652</v>
      </c>
      <c r="AB42" s="610" t="s">
        <v>651</v>
      </c>
      <c r="AC42" s="610" t="s">
        <v>675</v>
      </c>
      <c r="AD42" s="814" t="s">
        <v>330</v>
      </c>
      <c r="AE42" s="642" t="s">
        <v>556</v>
      </c>
    </row>
    <row r="43" spans="1:76" ht="45" customHeight="1" outlineLevel="1" x14ac:dyDescent="0.2">
      <c r="A43" s="494"/>
      <c r="B43" s="611">
        <v>23</v>
      </c>
      <c r="C43" s="509" t="s">
        <v>325</v>
      </c>
      <c r="D43" s="662" t="s">
        <v>593</v>
      </c>
      <c r="E43" s="676">
        <v>300000</v>
      </c>
      <c r="F43" s="676"/>
      <c r="G43" s="676"/>
      <c r="H43" s="677">
        <f t="shared" si="7"/>
        <v>300000</v>
      </c>
      <c r="I43" s="659">
        <f t="shared" si="8"/>
        <v>270270.27027027024</v>
      </c>
      <c r="J43" s="613" t="s">
        <v>332</v>
      </c>
      <c r="K43" s="688">
        <f t="shared" si="9"/>
        <v>300000</v>
      </c>
      <c r="L43" s="614">
        <v>0</v>
      </c>
      <c r="M43" s="614">
        <f t="shared" si="26"/>
        <v>36000</v>
      </c>
      <c r="N43" s="614">
        <v>0</v>
      </c>
      <c r="O43" s="614">
        <f t="shared" si="10"/>
        <v>336000</v>
      </c>
      <c r="P43" s="608" t="s">
        <v>291</v>
      </c>
      <c r="Q43" s="615" t="s">
        <v>296</v>
      </c>
      <c r="R43" s="615" t="s">
        <v>298</v>
      </c>
      <c r="S43" s="615" t="s">
        <v>302</v>
      </c>
      <c r="T43" s="615" t="s">
        <v>233</v>
      </c>
      <c r="U43" s="616"/>
      <c r="V43" s="616"/>
      <c r="W43" s="616"/>
      <c r="X43" s="616"/>
      <c r="Y43" s="616"/>
      <c r="Z43" s="610" t="s">
        <v>630</v>
      </c>
      <c r="AA43" s="610" t="s">
        <v>652</v>
      </c>
      <c r="AB43" s="610" t="s">
        <v>651</v>
      </c>
      <c r="AC43" s="610" t="s">
        <v>675</v>
      </c>
      <c r="AD43" s="802" t="s">
        <v>330</v>
      </c>
      <c r="AE43" s="642" t="s">
        <v>556</v>
      </c>
    </row>
    <row r="44" spans="1:76" ht="44.25" customHeight="1" outlineLevel="1" x14ac:dyDescent="0.2">
      <c r="A44" s="494"/>
      <c r="B44" s="611">
        <v>24</v>
      </c>
      <c r="C44" s="509" t="s">
        <v>325</v>
      </c>
      <c r="D44" s="701" t="s">
        <v>591</v>
      </c>
      <c r="E44" s="676">
        <v>650000</v>
      </c>
      <c r="F44" s="676"/>
      <c r="G44" s="676"/>
      <c r="H44" s="677">
        <f t="shared" si="7"/>
        <v>650000</v>
      </c>
      <c r="I44" s="659">
        <f t="shared" si="8"/>
        <v>585585.58558558556</v>
      </c>
      <c r="J44" s="613" t="s">
        <v>332</v>
      </c>
      <c r="K44" s="688">
        <f t="shared" si="9"/>
        <v>650000</v>
      </c>
      <c r="L44" s="614">
        <v>0</v>
      </c>
      <c r="M44" s="614">
        <f t="shared" si="26"/>
        <v>78000</v>
      </c>
      <c r="N44" s="614">
        <v>0</v>
      </c>
      <c r="O44" s="614">
        <f t="shared" si="10"/>
        <v>728000</v>
      </c>
      <c r="P44" s="608" t="s">
        <v>291</v>
      </c>
      <c r="Q44" s="615" t="s">
        <v>296</v>
      </c>
      <c r="R44" s="615" t="s">
        <v>298</v>
      </c>
      <c r="S44" s="615" t="s">
        <v>302</v>
      </c>
      <c r="T44" s="615" t="s">
        <v>233</v>
      </c>
      <c r="U44" s="616"/>
      <c r="V44" s="616"/>
      <c r="W44" s="616"/>
      <c r="X44" s="616"/>
      <c r="Y44" s="616"/>
      <c r="Z44" s="610" t="s">
        <v>630</v>
      </c>
      <c r="AA44" s="610" t="s">
        <v>652</v>
      </c>
      <c r="AB44" s="610" t="s">
        <v>651</v>
      </c>
      <c r="AC44" s="610" t="s">
        <v>675</v>
      </c>
      <c r="AD44" s="802" t="s">
        <v>330</v>
      </c>
      <c r="AE44" s="642" t="s">
        <v>556</v>
      </c>
    </row>
    <row r="45" spans="1:76" ht="48.75" customHeight="1" outlineLevel="1" x14ac:dyDescent="0.2">
      <c r="A45" s="494"/>
      <c r="B45" s="611">
        <v>25</v>
      </c>
      <c r="C45" s="509" t="s">
        <v>325</v>
      </c>
      <c r="D45" s="705" t="s">
        <v>541</v>
      </c>
      <c r="E45" s="676">
        <v>900000</v>
      </c>
      <c r="F45" s="676"/>
      <c r="G45" s="676"/>
      <c r="H45" s="677">
        <f t="shared" si="7"/>
        <v>900000</v>
      </c>
      <c r="I45" s="659">
        <f t="shared" si="8"/>
        <v>810810.81081081077</v>
      </c>
      <c r="J45" s="613" t="s">
        <v>503</v>
      </c>
      <c r="K45" s="688">
        <f t="shared" si="9"/>
        <v>900000</v>
      </c>
      <c r="L45" s="614">
        <v>0</v>
      </c>
      <c r="M45" s="614">
        <v>0</v>
      </c>
      <c r="N45" s="614">
        <f>+(K45*1)*0.12</f>
        <v>108000</v>
      </c>
      <c r="O45" s="614">
        <f t="shared" si="10"/>
        <v>1008000</v>
      </c>
      <c r="P45" s="608" t="s">
        <v>271</v>
      </c>
      <c r="Q45" s="608" t="s">
        <v>296</v>
      </c>
      <c r="R45" s="776" t="s">
        <v>585</v>
      </c>
      <c r="S45" s="615" t="s">
        <v>504</v>
      </c>
      <c r="T45" s="615" t="s">
        <v>233</v>
      </c>
      <c r="U45" s="616"/>
      <c r="V45" s="616"/>
      <c r="W45" s="616"/>
      <c r="X45" s="616"/>
      <c r="Y45" s="616"/>
      <c r="Z45" s="610" t="s">
        <v>630</v>
      </c>
      <c r="AA45" s="610" t="s">
        <v>652</v>
      </c>
      <c r="AB45" s="610" t="s">
        <v>651</v>
      </c>
      <c r="AC45" s="610" t="s">
        <v>675</v>
      </c>
      <c r="AD45" s="802" t="s">
        <v>330</v>
      </c>
      <c r="AE45" s="642" t="s">
        <v>556</v>
      </c>
    </row>
    <row r="46" spans="1:76" ht="57" customHeight="1" outlineLevel="1" x14ac:dyDescent="0.2">
      <c r="A46" s="494"/>
      <c r="B46" s="611">
        <v>26</v>
      </c>
      <c r="C46" s="509" t="s">
        <v>325</v>
      </c>
      <c r="D46" s="705" t="s">
        <v>590</v>
      </c>
      <c r="E46" s="676">
        <v>681573</v>
      </c>
      <c r="F46" s="676"/>
      <c r="G46" s="676"/>
      <c r="H46" s="677">
        <f t="shared" si="7"/>
        <v>681573</v>
      </c>
      <c r="I46" s="659">
        <f t="shared" si="8"/>
        <v>614029.7297297297</v>
      </c>
      <c r="J46" s="613" t="s">
        <v>503</v>
      </c>
      <c r="K46" s="688">
        <f t="shared" si="9"/>
        <v>681573</v>
      </c>
      <c r="L46" s="614">
        <v>0</v>
      </c>
      <c r="M46" s="614">
        <v>0</v>
      </c>
      <c r="N46" s="614">
        <f>+(K46*1)*0.12</f>
        <v>81788.759999999995</v>
      </c>
      <c r="O46" s="614">
        <f t="shared" si="10"/>
        <v>763361.76</v>
      </c>
      <c r="P46" s="608" t="s">
        <v>271</v>
      </c>
      <c r="Q46" s="608" t="s">
        <v>296</v>
      </c>
      <c r="R46" s="776" t="s">
        <v>585</v>
      </c>
      <c r="S46" s="615" t="s">
        <v>504</v>
      </c>
      <c r="T46" s="615" t="s">
        <v>233</v>
      </c>
      <c r="U46" s="616"/>
      <c r="V46" s="616"/>
      <c r="W46" s="616"/>
      <c r="X46" s="616"/>
      <c r="Y46" s="616"/>
      <c r="Z46" s="610" t="s">
        <v>630</v>
      </c>
      <c r="AA46" s="610" t="s">
        <v>652</v>
      </c>
      <c r="AB46" s="610" t="s">
        <v>651</v>
      </c>
      <c r="AC46" s="610" t="s">
        <v>675</v>
      </c>
      <c r="AD46" s="802" t="s">
        <v>330</v>
      </c>
      <c r="AE46" s="642" t="s">
        <v>556</v>
      </c>
    </row>
    <row r="47" spans="1:76" ht="55.5" customHeight="1" outlineLevel="1" x14ac:dyDescent="0.2">
      <c r="A47" s="494"/>
      <c r="B47" s="611">
        <v>27</v>
      </c>
      <c r="C47" s="509" t="s">
        <v>325</v>
      </c>
      <c r="D47" s="662" t="s">
        <v>535</v>
      </c>
      <c r="E47" s="676">
        <v>880000</v>
      </c>
      <c r="F47" s="676"/>
      <c r="G47" s="676"/>
      <c r="H47" s="677">
        <f t="shared" si="7"/>
        <v>880000</v>
      </c>
      <c r="I47" s="659">
        <f t="shared" si="8"/>
        <v>792792.79279279266</v>
      </c>
      <c r="J47" s="613" t="s">
        <v>503</v>
      </c>
      <c r="K47" s="688">
        <f t="shared" si="9"/>
        <v>880000</v>
      </c>
      <c r="L47" s="614">
        <v>0</v>
      </c>
      <c r="M47" s="614">
        <v>0</v>
      </c>
      <c r="N47" s="614">
        <f>+H47*0.12</f>
        <v>105600</v>
      </c>
      <c r="O47" s="614">
        <f t="shared" si="10"/>
        <v>985600</v>
      </c>
      <c r="P47" s="608" t="s">
        <v>271</v>
      </c>
      <c r="Q47" s="608" t="s">
        <v>296</v>
      </c>
      <c r="R47" s="776" t="s">
        <v>585</v>
      </c>
      <c r="S47" s="615" t="s">
        <v>504</v>
      </c>
      <c r="T47" s="615" t="s">
        <v>233</v>
      </c>
      <c r="U47" s="616"/>
      <c r="V47" s="616"/>
      <c r="W47" s="616"/>
      <c r="X47" s="616"/>
      <c r="Y47" s="616"/>
      <c r="Z47" s="617" t="s">
        <v>514</v>
      </c>
      <c r="AA47" s="617" t="s">
        <v>519</v>
      </c>
      <c r="AB47" s="617" t="s">
        <v>648</v>
      </c>
      <c r="AC47" s="617" t="s">
        <v>643</v>
      </c>
      <c r="AD47" s="814" t="s">
        <v>330</v>
      </c>
      <c r="AE47" s="642" t="s">
        <v>556</v>
      </c>
    </row>
    <row r="48" spans="1:76" ht="51" outlineLevel="1" x14ac:dyDescent="0.2">
      <c r="A48" s="494"/>
      <c r="B48" s="611">
        <v>28</v>
      </c>
      <c r="C48" s="509" t="s">
        <v>325</v>
      </c>
      <c r="D48" s="773" t="s">
        <v>596</v>
      </c>
      <c r="E48" s="676">
        <v>40000</v>
      </c>
      <c r="F48" s="676"/>
      <c r="G48" s="676"/>
      <c r="H48" s="677">
        <f t="shared" si="7"/>
        <v>40000</v>
      </c>
      <c r="I48" s="659">
        <f t="shared" si="8"/>
        <v>36036.036036036036</v>
      </c>
      <c r="J48" s="613" t="s">
        <v>332</v>
      </c>
      <c r="K48" s="688">
        <f t="shared" si="9"/>
        <v>40000</v>
      </c>
      <c r="L48" s="614">
        <v>0</v>
      </c>
      <c r="M48" s="614">
        <f t="shared" si="26"/>
        <v>4800</v>
      </c>
      <c r="N48" s="614">
        <v>0</v>
      </c>
      <c r="O48" s="614">
        <f t="shared" si="10"/>
        <v>44800</v>
      </c>
      <c r="P48" s="608" t="s">
        <v>291</v>
      </c>
      <c r="Q48" s="615" t="s">
        <v>295</v>
      </c>
      <c r="R48" s="615" t="s">
        <v>354</v>
      </c>
      <c r="S48" s="615" t="s">
        <v>306</v>
      </c>
      <c r="T48" s="608" t="s">
        <v>233</v>
      </c>
      <c r="U48" s="616"/>
      <c r="V48" s="616"/>
      <c r="W48" s="616"/>
      <c r="X48" s="616"/>
      <c r="Y48" s="616"/>
      <c r="Z48" s="610" t="s">
        <v>397</v>
      </c>
      <c r="AA48" s="610" t="s">
        <v>630</v>
      </c>
      <c r="AB48" s="610" t="s">
        <v>652</v>
      </c>
      <c r="AC48" s="610" t="s">
        <v>518</v>
      </c>
      <c r="AD48" s="802" t="s">
        <v>330</v>
      </c>
      <c r="AE48" s="642" t="s">
        <v>556</v>
      </c>
    </row>
    <row r="49" spans="1:78" ht="40.5" customHeight="1" outlineLevel="1" x14ac:dyDescent="0.2">
      <c r="A49" s="494"/>
      <c r="B49" s="611">
        <v>29</v>
      </c>
      <c r="C49" s="509" t="s">
        <v>325</v>
      </c>
      <c r="D49" s="657" t="s">
        <v>536</v>
      </c>
      <c r="E49" s="676">
        <v>186922</v>
      </c>
      <c r="F49" s="676"/>
      <c r="G49" s="676"/>
      <c r="H49" s="677">
        <f t="shared" si="7"/>
        <v>186922</v>
      </c>
      <c r="I49" s="772">
        <f t="shared" si="8"/>
        <v>168398.1981981982</v>
      </c>
      <c r="J49" s="613" t="s">
        <v>332</v>
      </c>
      <c r="K49" s="688">
        <f t="shared" si="9"/>
        <v>186922</v>
      </c>
      <c r="L49" s="614">
        <v>0</v>
      </c>
      <c r="M49" s="614">
        <f t="shared" si="26"/>
        <v>22430.639999999999</v>
      </c>
      <c r="N49" s="614">
        <v>0</v>
      </c>
      <c r="O49" s="614">
        <f t="shared" si="10"/>
        <v>209352.64</v>
      </c>
      <c r="P49" s="608" t="s">
        <v>291</v>
      </c>
      <c r="Q49" s="608" t="s">
        <v>295</v>
      </c>
      <c r="R49" s="608" t="s">
        <v>354</v>
      </c>
      <c r="S49" s="608" t="s">
        <v>302</v>
      </c>
      <c r="T49" s="608" t="s">
        <v>233</v>
      </c>
      <c r="U49" s="616"/>
      <c r="V49" s="616"/>
      <c r="W49" s="616"/>
      <c r="X49" s="616"/>
      <c r="Y49" s="616"/>
      <c r="Z49" s="610" t="s">
        <v>397</v>
      </c>
      <c r="AA49" s="610" t="s">
        <v>630</v>
      </c>
      <c r="AB49" s="610" t="s">
        <v>652</v>
      </c>
      <c r="AC49" s="610" t="s">
        <v>655</v>
      </c>
      <c r="AD49" s="802" t="s">
        <v>330</v>
      </c>
      <c r="AE49" s="642" t="s">
        <v>556</v>
      </c>
    </row>
    <row r="50" spans="1:78" ht="41.25" customHeight="1" outlineLevel="1" x14ac:dyDescent="0.2">
      <c r="A50" s="494"/>
      <c r="B50" s="611">
        <v>30</v>
      </c>
      <c r="C50" s="509" t="s">
        <v>325</v>
      </c>
      <c r="D50" s="693" t="s">
        <v>537</v>
      </c>
      <c r="E50" s="676">
        <v>32000</v>
      </c>
      <c r="F50" s="676"/>
      <c r="G50" s="676"/>
      <c r="H50" s="677">
        <f t="shared" si="7"/>
        <v>32000</v>
      </c>
      <c r="I50" s="658">
        <f t="shared" si="8"/>
        <v>28828.828828828828</v>
      </c>
      <c r="J50" s="615" t="s">
        <v>538</v>
      </c>
      <c r="K50" s="688">
        <f t="shared" si="9"/>
        <v>32000</v>
      </c>
      <c r="L50" s="614">
        <v>0</v>
      </c>
      <c r="M50" s="614">
        <f>+K50*0.12</f>
        <v>3840</v>
      </c>
      <c r="N50" s="614">
        <v>0</v>
      </c>
      <c r="O50" s="614">
        <f t="shared" si="10"/>
        <v>35840</v>
      </c>
      <c r="P50" s="615" t="s">
        <v>551</v>
      </c>
      <c r="Q50" s="608" t="s">
        <v>295</v>
      </c>
      <c r="R50" s="608" t="s">
        <v>307</v>
      </c>
      <c r="S50" s="608" t="s">
        <v>523</v>
      </c>
      <c r="T50" s="608" t="s">
        <v>233</v>
      </c>
      <c r="U50" s="616">
        <f>+K50/O50</f>
        <v>0.8928571428571429</v>
      </c>
      <c r="V50" s="616">
        <v>0</v>
      </c>
      <c r="W50" s="616">
        <f>+M50/O50</f>
        <v>0.10714285714285714</v>
      </c>
      <c r="X50" s="616">
        <v>0</v>
      </c>
      <c r="Y50" s="616">
        <f>+U50+W50</f>
        <v>1</v>
      </c>
      <c r="Z50" s="610" t="s">
        <v>397</v>
      </c>
      <c r="AA50" s="610" t="s">
        <v>630</v>
      </c>
      <c r="AB50" s="610" t="s">
        <v>652</v>
      </c>
      <c r="AC50" s="610" t="s">
        <v>655</v>
      </c>
      <c r="AD50" s="802" t="s">
        <v>330</v>
      </c>
      <c r="AE50" s="632" t="s">
        <v>436</v>
      </c>
    </row>
    <row r="51" spans="1:78" ht="39" customHeight="1" outlineLevel="1" x14ac:dyDescent="0.2">
      <c r="A51" s="494"/>
      <c r="B51" s="611">
        <v>31</v>
      </c>
      <c r="C51" s="509" t="s">
        <v>325</v>
      </c>
      <c r="D51" s="657" t="s">
        <v>527</v>
      </c>
      <c r="E51" s="679">
        <v>54000</v>
      </c>
      <c r="F51" s="676"/>
      <c r="G51" s="676"/>
      <c r="H51" s="677">
        <f t="shared" si="7"/>
        <v>54000</v>
      </c>
      <c r="I51" s="659">
        <f t="shared" si="8"/>
        <v>48648.648648648646</v>
      </c>
      <c r="J51" s="613" t="s">
        <v>332</v>
      </c>
      <c r="K51" s="688">
        <f t="shared" si="9"/>
        <v>54000</v>
      </c>
      <c r="L51" s="614">
        <v>0</v>
      </c>
      <c r="M51" s="614">
        <f t="shared" ref="M51" si="27">+K51*0.12</f>
        <v>6480</v>
      </c>
      <c r="N51" s="614">
        <v>0</v>
      </c>
      <c r="O51" s="614">
        <f t="shared" si="10"/>
        <v>60480</v>
      </c>
      <c r="P51" s="608" t="s">
        <v>291</v>
      </c>
      <c r="Q51" s="608" t="s">
        <v>295</v>
      </c>
      <c r="R51" s="608" t="s">
        <v>354</v>
      </c>
      <c r="S51" s="608" t="s">
        <v>306</v>
      </c>
      <c r="T51" s="608" t="s">
        <v>233</v>
      </c>
      <c r="U51" s="616"/>
      <c r="V51" s="616"/>
      <c r="W51" s="616"/>
      <c r="X51" s="616"/>
      <c r="Y51" s="616"/>
      <c r="Z51" s="610" t="s">
        <v>397</v>
      </c>
      <c r="AA51" s="610" t="s">
        <v>510</v>
      </c>
      <c r="AB51" s="610" t="s">
        <v>594</v>
      </c>
      <c r="AC51" s="610" t="s">
        <v>512</v>
      </c>
      <c r="AD51" s="813" t="s">
        <v>356</v>
      </c>
      <c r="AE51" s="642" t="s">
        <v>560</v>
      </c>
    </row>
    <row r="52" spans="1:78" ht="73.5" customHeight="1" outlineLevel="1" x14ac:dyDescent="0.2">
      <c r="A52" s="494"/>
      <c r="B52" s="824">
        <v>32</v>
      </c>
      <c r="C52" s="824" t="s">
        <v>325</v>
      </c>
      <c r="D52" s="773" t="s">
        <v>527</v>
      </c>
      <c r="E52" s="846"/>
      <c r="F52" s="846">
        <f>4118.97*12</f>
        <v>49427.64</v>
      </c>
      <c r="G52" s="847"/>
      <c r="H52" s="676">
        <f t="shared" si="7"/>
        <v>49427.64</v>
      </c>
      <c r="I52" s="828">
        <f>H52/1.11</f>
        <v>44529.4054054054</v>
      </c>
      <c r="J52" s="848" t="s">
        <v>332</v>
      </c>
      <c r="K52" s="849">
        <f>H52</f>
        <v>49427.64</v>
      </c>
      <c r="L52" s="850"/>
      <c r="M52" s="850">
        <f>K52*0.12</f>
        <v>5931.3167999999996</v>
      </c>
      <c r="N52" s="850">
        <v>0</v>
      </c>
      <c r="O52" s="850">
        <f>K52+M52</f>
        <v>55358.9568</v>
      </c>
      <c r="P52" s="776" t="s">
        <v>638</v>
      </c>
      <c r="Q52" s="776" t="s">
        <v>684</v>
      </c>
      <c r="R52" s="851" t="s">
        <v>354</v>
      </c>
      <c r="S52" s="851" t="s">
        <v>361</v>
      </c>
      <c r="T52" s="851" t="s">
        <v>233</v>
      </c>
      <c r="U52" s="852"/>
      <c r="V52" s="852"/>
      <c r="W52" s="852"/>
      <c r="X52" s="852"/>
      <c r="Y52" s="852"/>
      <c r="Z52" s="853" t="s">
        <v>273</v>
      </c>
      <c r="AA52" s="814" t="s">
        <v>650</v>
      </c>
      <c r="AB52" s="814" t="s">
        <v>630</v>
      </c>
      <c r="AC52" s="814" t="s">
        <v>651</v>
      </c>
      <c r="AD52" s="854" t="s">
        <v>330</v>
      </c>
      <c r="AE52" s="642"/>
    </row>
    <row r="53" spans="1:78" ht="73.5" customHeight="1" outlineLevel="1" x14ac:dyDescent="0.2">
      <c r="A53" s="494"/>
      <c r="B53" s="864">
        <v>33</v>
      </c>
      <c r="C53" s="865" t="s">
        <v>325</v>
      </c>
      <c r="D53" s="866" t="s">
        <v>527</v>
      </c>
      <c r="E53" s="867"/>
      <c r="F53" s="867">
        <f>4118.97*4</f>
        <v>16475.88</v>
      </c>
      <c r="G53" s="868"/>
      <c r="H53" s="869">
        <f>F53</f>
        <v>16475.88</v>
      </c>
      <c r="I53" s="870">
        <f>H53/1.11</f>
        <v>14843.135135135135</v>
      </c>
      <c r="J53" s="871" t="s">
        <v>692</v>
      </c>
      <c r="K53" s="872">
        <f>H53</f>
        <v>16475.88</v>
      </c>
      <c r="L53" s="873">
        <v>0</v>
      </c>
      <c r="M53" s="873">
        <f>K53*0.12</f>
        <v>1977.1056000000001</v>
      </c>
      <c r="N53" s="873">
        <v>0</v>
      </c>
      <c r="O53" s="873">
        <f>K53+M53</f>
        <v>18452.9856</v>
      </c>
      <c r="P53" s="874" t="s">
        <v>550</v>
      </c>
      <c r="Q53" s="874" t="s">
        <v>273</v>
      </c>
      <c r="R53" s="875" t="s">
        <v>299</v>
      </c>
      <c r="S53" s="875" t="s">
        <v>273</v>
      </c>
      <c r="T53" s="875" t="s">
        <v>241</v>
      </c>
      <c r="U53" s="876"/>
      <c r="V53" s="876"/>
      <c r="W53" s="876"/>
      <c r="X53" s="876"/>
      <c r="Y53" s="876"/>
      <c r="Z53" s="877" t="s">
        <v>273</v>
      </c>
      <c r="AA53" s="878" t="s">
        <v>650</v>
      </c>
      <c r="AB53" s="878" t="s">
        <v>693</v>
      </c>
      <c r="AC53" s="878" t="s">
        <v>689</v>
      </c>
      <c r="AD53" s="879" t="s">
        <v>330</v>
      </c>
      <c r="AE53" s="880"/>
    </row>
    <row r="54" spans="1:78" ht="35.25" customHeight="1" x14ac:dyDescent="0.2">
      <c r="A54" s="494"/>
      <c r="B54" s="824"/>
      <c r="C54" s="660" t="s">
        <v>326</v>
      </c>
      <c r="D54" s="513" t="s">
        <v>440</v>
      </c>
      <c r="E54" s="513"/>
      <c r="F54" s="513"/>
      <c r="G54" s="513"/>
      <c r="H54" s="696">
        <f>H55+H77</f>
        <v>2014782.5700000005</v>
      </c>
      <c r="I54" s="697">
        <f>+I55+I77</f>
        <v>1815119.4324324334</v>
      </c>
      <c r="J54" s="809"/>
      <c r="K54" s="680">
        <f>+K55+K77</f>
        <v>1115106.8</v>
      </c>
      <c r="L54" s="680">
        <f>+L55+L77</f>
        <v>0</v>
      </c>
      <c r="M54" s="680">
        <f>+M55+M77</f>
        <v>125783.61599999999</v>
      </c>
      <c r="N54" s="680">
        <f>+N55+N77</f>
        <v>0</v>
      </c>
      <c r="O54" s="680">
        <f>+O55+O77</f>
        <v>1240890.4160000002</v>
      </c>
      <c r="P54" s="514"/>
      <c r="Q54" s="514"/>
      <c r="R54" s="514"/>
      <c r="S54" s="514"/>
      <c r="T54" s="514"/>
      <c r="U54" s="573"/>
      <c r="V54" s="573"/>
      <c r="W54" s="573"/>
      <c r="X54" s="573"/>
      <c r="Y54" s="573"/>
      <c r="Z54" s="758"/>
      <c r="AA54" s="758"/>
      <c r="AB54" s="758"/>
      <c r="AC54" s="758"/>
      <c r="AD54" s="812"/>
      <c r="AE54" s="710"/>
    </row>
    <row r="55" spans="1:78" ht="33" customHeight="1" outlineLevel="1" x14ac:dyDescent="0.2">
      <c r="A55" s="494"/>
      <c r="B55" s="842"/>
      <c r="C55" s="622"/>
      <c r="D55" s="623" t="s">
        <v>431</v>
      </c>
      <c r="E55" s="623"/>
      <c r="F55" s="623"/>
      <c r="G55" s="623"/>
      <c r="H55" s="681">
        <f>SUM(H56:H76)</f>
        <v>1816360.5700000005</v>
      </c>
      <c r="I55" s="625">
        <f>SUM(I56:I76)</f>
        <v>1636360.8738738748</v>
      </c>
      <c r="J55" s="624"/>
      <c r="K55" s="681">
        <f>SUM(K57:K76)</f>
        <v>916684.80000000005</v>
      </c>
      <c r="L55" s="681">
        <f>SUM(L57:L76)</f>
        <v>0</v>
      </c>
      <c r="M55" s="681">
        <f>SUM(M57:M76)</f>
        <v>110002.17599999999</v>
      </c>
      <c r="N55" s="681">
        <f>SUM(N57:N76)</f>
        <v>0</v>
      </c>
      <c r="O55" s="681">
        <f>SUM(O57:O76)</f>
        <v>1026686.9760000001</v>
      </c>
      <c r="P55" s="626"/>
      <c r="Q55" s="626"/>
      <c r="R55" s="626"/>
      <c r="S55" s="626"/>
      <c r="T55" s="626"/>
      <c r="U55" s="627"/>
      <c r="V55" s="627"/>
      <c r="W55" s="627"/>
      <c r="X55" s="627"/>
      <c r="Y55" s="627"/>
      <c r="Z55" s="771"/>
      <c r="AA55" s="771"/>
      <c r="AB55" s="771"/>
      <c r="AC55" s="771"/>
      <c r="AD55" s="815"/>
      <c r="AE55" s="712"/>
      <c r="AF55" s="488"/>
      <c r="AG55" s="488"/>
      <c r="AH55" s="488"/>
      <c r="AI55" s="488"/>
      <c r="AJ55" s="488"/>
      <c r="AK55" s="488"/>
      <c r="AL55" s="488"/>
      <c r="AM55" s="488"/>
      <c r="AN55" s="488"/>
      <c r="AO55" s="488"/>
      <c r="AP55" s="488"/>
      <c r="AQ55" s="488"/>
      <c r="AR55" s="488"/>
      <c r="AS55" s="488"/>
      <c r="AT55" s="488"/>
      <c r="AU55" s="488"/>
      <c r="AV55" s="488"/>
      <c r="AW55" s="488"/>
      <c r="AX55" s="488"/>
      <c r="AY55" s="488"/>
      <c r="AZ55" s="488"/>
      <c r="BA55" s="488"/>
      <c r="BB55" s="488"/>
      <c r="BC55" s="488"/>
      <c r="BD55" s="488"/>
      <c r="BE55" s="488"/>
      <c r="BF55" s="488"/>
      <c r="BG55" s="488"/>
      <c r="BH55" s="488"/>
      <c r="BI55" s="488"/>
      <c r="BJ55" s="488"/>
      <c r="BK55" s="488"/>
      <c r="BL55" s="488"/>
      <c r="BM55" s="488"/>
      <c r="BN55" s="488"/>
      <c r="BO55" s="488"/>
      <c r="BP55" s="488"/>
      <c r="BQ55" s="488"/>
      <c r="BR55" s="488"/>
      <c r="BS55" s="488"/>
      <c r="BT55" s="488"/>
      <c r="BU55" s="488"/>
      <c r="BV55" s="488"/>
      <c r="BW55" s="488"/>
      <c r="BX55" s="488"/>
      <c r="BY55" s="488"/>
      <c r="BZ55" s="488"/>
    </row>
    <row r="56" spans="1:78" s="831" customFormat="1" ht="138" customHeight="1" outlineLevel="1" x14ac:dyDescent="0.2">
      <c r="A56" s="494"/>
      <c r="B56" s="881">
        <v>34</v>
      </c>
      <c r="C56" s="864" t="s">
        <v>326</v>
      </c>
      <c r="D56" s="866" t="s">
        <v>658</v>
      </c>
      <c r="E56" s="882"/>
      <c r="F56" s="883">
        <f>116125.020000001+8490+2000+10000+114002.76+48000+354504.81+8000+20000+45000+14500+6800+167453.64-37723.2-37723.2-19278.18-19278.18+16000+40000+40000+19278.18-16475.88</f>
        <v>899675.77000000107</v>
      </c>
      <c r="G56" s="884"/>
      <c r="H56" s="883">
        <f>E56+F56+G56</f>
        <v>899675.77000000107</v>
      </c>
      <c r="I56" s="870">
        <f>+H56/1.11</f>
        <v>810518.71171171265</v>
      </c>
      <c r="J56" s="885" t="s">
        <v>332</v>
      </c>
      <c r="K56" s="886">
        <f t="shared" ref="K56" si="28">+H56</f>
        <v>899675.77000000107</v>
      </c>
      <c r="L56" s="887">
        <v>0</v>
      </c>
      <c r="M56" s="887">
        <f t="shared" ref="M56" si="29">+K56*0.12</f>
        <v>107961.09240000013</v>
      </c>
      <c r="N56" s="887">
        <v>0</v>
      </c>
      <c r="O56" s="887">
        <f t="shared" ref="O56" si="30">+K56+M56+N56</f>
        <v>1007636.8624000011</v>
      </c>
      <c r="P56" s="888" t="s">
        <v>291</v>
      </c>
      <c r="Q56" s="888" t="s">
        <v>296</v>
      </c>
      <c r="R56" s="888" t="s">
        <v>298</v>
      </c>
      <c r="S56" s="888" t="s">
        <v>302</v>
      </c>
      <c r="T56" s="888" t="s">
        <v>233</v>
      </c>
      <c r="U56" s="889"/>
      <c r="V56" s="889"/>
      <c r="W56" s="889"/>
      <c r="X56" s="889"/>
      <c r="Y56" s="889"/>
      <c r="Z56" s="878" t="s">
        <v>630</v>
      </c>
      <c r="AA56" s="878" t="s">
        <v>646</v>
      </c>
      <c r="AB56" s="878" t="s">
        <v>645</v>
      </c>
      <c r="AC56" s="878" t="s">
        <v>647</v>
      </c>
      <c r="AD56" s="878" t="s">
        <v>656</v>
      </c>
      <c r="AE56" s="880" t="s">
        <v>561</v>
      </c>
      <c r="AF56" s="488"/>
      <c r="AG56" s="488"/>
      <c r="AH56" s="488"/>
      <c r="AI56" s="488"/>
      <c r="AJ56" s="488"/>
      <c r="AK56" s="488"/>
      <c r="AL56" s="488"/>
      <c r="AM56" s="488"/>
      <c r="AN56" s="488"/>
      <c r="AO56" s="488"/>
      <c r="AP56" s="488"/>
      <c r="AQ56" s="488"/>
      <c r="AR56" s="488"/>
      <c r="AS56" s="488"/>
      <c r="AT56" s="488"/>
      <c r="AU56" s="488"/>
      <c r="AV56" s="488"/>
      <c r="AW56" s="488"/>
      <c r="AX56" s="488"/>
      <c r="AY56" s="488"/>
      <c r="AZ56" s="488"/>
      <c r="BA56" s="488"/>
      <c r="BB56" s="488"/>
      <c r="BC56" s="488"/>
      <c r="BD56" s="488"/>
      <c r="BE56" s="488"/>
      <c r="BF56" s="488"/>
      <c r="BG56" s="488"/>
      <c r="BH56" s="488"/>
      <c r="BI56" s="488"/>
      <c r="BJ56" s="488"/>
      <c r="BK56" s="488"/>
      <c r="BL56" s="488"/>
      <c r="BM56" s="488"/>
      <c r="BN56" s="488"/>
      <c r="BO56" s="488"/>
      <c r="BP56" s="488"/>
      <c r="BQ56" s="488"/>
      <c r="BR56" s="488"/>
      <c r="BS56" s="488"/>
      <c r="BT56" s="488"/>
      <c r="BU56" s="488"/>
      <c r="BV56" s="488"/>
      <c r="BW56" s="488"/>
      <c r="BX56" s="488"/>
      <c r="BY56" s="488"/>
      <c r="BZ56" s="488"/>
    </row>
    <row r="57" spans="1:78" ht="65.25" customHeight="1" outlineLevel="1" x14ac:dyDescent="0.2">
      <c r="A57" s="494"/>
      <c r="B57" s="824">
        <v>35</v>
      </c>
      <c r="C57" s="602" t="s">
        <v>326</v>
      </c>
      <c r="D57" s="632" t="s">
        <v>618</v>
      </c>
      <c r="E57" s="676">
        <v>208336</v>
      </c>
      <c r="F57" s="676"/>
      <c r="G57" s="676"/>
      <c r="H57" s="827">
        <f>+F57+E57+G57</f>
        <v>208336</v>
      </c>
      <c r="I57" s="606">
        <f>+H57/1.11</f>
        <v>187690.09009009006</v>
      </c>
      <c r="J57" s="607" t="s">
        <v>332</v>
      </c>
      <c r="K57" s="685">
        <f>+H57</f>
        <v>208336</v>
      </c>
      <c r="L57" s="605">
        <v>0</v>
      </c>
      <c r="M57" s="605">
        <f t="shared" ref="M57:M65" si="31">+K57*0.12</f>
        <v>25000.32</v>
      </c>
      <c r="N57" s="605">
        <v>0</v>
      </c>
      <c r="O57" s="605">
        <f t="shared" ref="O57:O65" si="32">+K57+M57</f>
        <v>233336.32000000001</v>
      </c>
      <c r="P57" s="608" t="s">
        <v>550</v>
      </c>
      <c r="Q57" s="608" t="s">
        <v>296</v>
      </c>
      <c r="R57" s="608" t="s">
        <v>359</v>
      </c>
      <c r="S57" s="608" t="s">
        <v>302</v>
      </c>
      <c r="T57" s="608" t="s">
        <v>233</v>
      </c>
      <c r="U57" s="609">
        <f t="shared" ref="U57:U65" si="33">+K57/O57</f>
        <v>0.89285714285714279</v>
      </c>
      <c r="V57" s="609">
        <v>0</v>
      </c>
      <c r="W57" s="609">
        <f t="shared" ref="W57:W65" si="34">+M57/O57</f>
        <v>0.10714285714285714</v>
      </c>
      <c r="X57" s="609">
        <v>0</v>
      </c>
      <c r="Y57" s="609">
        <f t="shared" ref="Y57:Y65" si="35">+U57+W57</f>
        <v>0.99999999999999989</v>
      </c>
      <c r="Z57" s="610" t="s">
        <v>673</v>
      </c>
      <c r="AA57" s="610" t="s">
        <v>668</v>
      </c>
      <c r="AB57" s="610" t="s">
        <v>668</v>
      </c>
      <c r="AC57" s="610" t="s">
        <v>660</v>
      </c>
      <c r="AD57" s="802" t="s">
        <v>674</v>
      </c>
      <c r="AE57" s="713" t="s">
        <v>562</v>
      </c>
      <c r="AF57" s="488"/>
      <c r="AG57" s="488"/>
      <c r="AH57" s="488"/>
      <c r="AI57" s="488"/>
      <c r="AJ57" s="488"/>
      <c r="AK57" s="488"/>
      <c r="AL57" s="488"/>
      <c r="AM57" s="488"/>
      <c r="AN57" s="488"/>
      <c r="AO57" s="488"/>
      <c r="AP57" s="488"/>
      <c r="AQ57" s="488"/>
      <c r="AR57" s="488"/>
      <c r="AS57" s="488"/>
      <c r="AT57" s="488"/>
      <c r="AU57" s="488"/>
      <c r="AV57" s="488"/>
      <c r="AW57" s="488"/>
      <c r="AX57" s="488"/>
      <c r="AY57" s="488"/>
      <c r="AZ57" s="488"/>
      <c r="BA57" s="488"/>
      <c r="BB57" s="488"/>
      <c r="BC57" s="488"/>
      <c r="BD57" s="488"/>
      <c r="BE57" s="488"/>
      <c r="BF57" s="488"/>
      <c r="BG57" s="488"/>
      <c r="BH57" s="488"/>
      <c r="BI57" s="488"/>
      <c r="BJ57" s="488"/>
      <c r="BK57" s="488"/>
      <c r="BL57" s="488"/>
      <c r="BM57" s="488"/>
      <c r="BN57" s="488"/>
      <c r="BO57" s="488"/>
      <c r="BP57" s="488"/>
      <c r="BQ57" s="488"/>
      <c r="BR57" s="488"/>
      <c r="BS57" s="488"/>
      <c r="BT57" s="488"/>
      <c r="BU57" s="488"/>
      <c r="BV57" s="488"/>
      <c r="BW57" s="488"/>
      <c r="BX57" s="488"/>
      <c r="BY57" s="488"/>
      <c r="BZ57" s="488"/>
    </row>
    <row r="58" spans="1:78" s="831" customFormat="1" ht="65.25" customHeight="1" outlineLevel="1" x14ac:dyDescent="0.2">
      <c r="A58" s="494"/>
      <c r="B58" s="824">
        <v>36</v>
      </c>
      <c r="C58" s="611" t="s">
        <v>326</v>
      </c>
      <c r="D58" s="642" t="s">
        <v>618</v>
      </c>
      <c r="E58" s="855"/>
      <c r="F58" s="821">
        <v>49427.64</v>
      </c>
      <c r="G58" s="856"/>
      <c r="H58" s="827">
        <f>E58+F58+G58</f>
        <v>49427.64</v>
      </c>
      <c r="I58" s="823">
        <f>+H58/1.11</f>
        <v>44529.4054054054</v>
      </c>
      <c r="J58" s="613" t="s">
        <v>332</v>
      </c>
      <c r="K58" s="688">
        <f>+H58</f>
        <v>49427.64</v>
      </c>
      <c r="L58" s="614">
        <v>0</v>
      </c>
      <c r="M58" s="614">
        <f t="shared" ref="M58" si="36">+K58*0.12</f>
        <v>5931.3167999999996</v>
      </c>
      <c r="N58" s="614">
        <v>0</v>
      </c>
      <c r="O58" s="614">
        <f t="shared" ref="O58" si="37">+K58+M58</f>
        <v>55358.9568</v>
      </c>
      <c r="P58" s="776" t="s">
        <v>638</v>
      </c>
      <c r="Q58" s="615" t="s">
        <v>295</v>
      </c>
      <c r="R58" s="615" t="s">
        <v>354</v>
      </c>
      <c r="S58" s="776" t="s">
        <v>306</v>
      </c>
      <c r="T58" s="615" t="s">
        <v>233</v>
      </c>
      <c r="U58" s="616">
        <f t="shared" ref="U58" si="38">+K58/O58</f>
        <v>0.89285714285714279</v>
      </c>
      <c r="V58" s="616">
        <v>0</v>
      </c>
      <c r="W58" s="616">
        <f t="shared" ref="W58" si="39">+M58/O58</f>
        <v>0.10714285714285714</v>
      </c>
      <c r="X58" s="616">
        <v>0</v>
      </c>
      <c r="Y58" s="616">
        <f t="shared" ref="Y58" si="40">+U58+W58</f>
        <v>0.99999999999999989</v>
      </c>
      <c r="Z58" s="814" t="s">
        <v>273</v>
      </c>
      <c r="AA58" s="814" t="s">
        <v>514</v>
      </c>
      <c r="AB58" s="814" t="s">
        <v>514</v>
      </c>
      <c r="AC58" s="814" t="s">
        <v>643</v>
      </c>
      <c r="AD58" s="814" t="s">
        <v>627</v>
      </c>
      <c r="AE58" s="711"/>
      <c r="AF58" s="488"/>
      <c r="AG58" s="488"/>
      <c r="AH58" s="488"/>
      <c r="AI58" s="488"/>
      <c r="AJ58" s="488"/>
      <c r="AK58" s="488"/>
      <c r="AL58" s="488"/>
      <c r="AM58" s="488"/>
      <c r="AN58" s="488"/>
      <c r="AO58" s="488"/>
      <c r="AP58" s="488"/>
      <c r="AQ58" s="488"/>
      <c r="AR58" s="488"/>
      <c r="AS58" s="488"/>
      <c r="AT58" s="488"/>
      <c r="AU58" s="488"/>
      <c r="AV58" s="488"/>
      <c r="AW58" s="488"/>
      <c r="AX58" s="488"/>
      <c r="AY58" s="488"/>
      <c r="AZ58" s="488"/>
      <c r="BA58" s="488"/>
      <c r="BB58" s="488"/>
      <c r="BC58" s="488"/>
      <c r="BD58" s="488"/>
      <c r="BE58" s="488"/>
      <c r="BF58" s="488"/>
      <c r="BG58" s="488"/>
      <c r="BH58" s="488"/>
      <c r="BI58" s="488"/>
      <c r="BJ58" s="488"/>
      <c r="BK58" s="488"/>
      <c r="BL58" s="488"/>
      <c r="BM58" s="488"/>
      <c r="BN58" s="488"/>
      <c r="BO58" s="488"/>
      <c r="BP58" s="488"/>
      <c r="BQ58" s="488"/>
      <c r="BR58" s="488"/>
      <c r="BS58" s="488"/>
      <c r="BT58" s="488"/>
      <c r="BU58" s="488"/>
      <c r="BV58" s="488"/>
      <c r="BW58" s="488"/>
      <c r="BX58" s="488"/>
      <c r="BY58" s="488"/>
      <c r="BZ58" s="488"/>
    </row>
    <row r="59" spans="1:78" ht="69.75" customHeight="1" outlineLevel="1" x14ac:dyDescent="0.2">
      <c r="A59" s="494"/>
      <c r="B59" s="824">
        <v>37</v>
      </c>
      <c r="C59" s="602" t="s">
        <v>326</v>
      </c>
      <c r="D59" s="632" t="s">
        <v>619</v>
      </c>
      <c r="E59" s="821">
        <v>88170</v>
      </c>
      <c r="F59" s="676"/>
      <c r="G59" s="676"/>
      <c r="H59" s="827">
        <f>+F59+E59+G59</f>
        <v>88170</v>
      </c>
      <c r="I59" s="606">
        <f>+H59/1.11</f>
        <v>79432.432432432426</v>
      </c>
      <c r="J59" s="607" t="s">
        <v>332</v>
      </c>
      <c r="K59" s="685">
        <f>+H59</f>
        <v>88170</v>
      </c>
      <c r="L59" s="605">
        <v>0</v>
      </c>
      <c r="M59" s="605">
        <f t="shared" si="31"/>
        <v>10580.4</v>
      </c>
      <c r="N59" s="605">
        <v>0</v>
      </c>
      <c r="O59" s="605">
        <f t="shared" si="32"/>
        <v>98750.399999999994</v>
      </c>
      <c r="P59" s="704" t="s">
        <v>291</v>
      </c>
      <c r="Q59" s="608" t="s">
        <v>295</v>
      </c>
      <c r="R59" s="608" t="s">
        <v>359</v>
      </c>
      <c r="S59" s="608" t="s">
        <v>302</v>
      </c>
      <c r="T59" s="608" t="s">
        <v>233</v>
      </c>
      <c r="U59" s="609">
        <f t="shared" si="33"/>
        <v>0.8928571428571429</v>
      </c>
      <c r="V59" s="609">
        <v>0</v>
      </c>
      <c r="W59" s="609">
        <f t="shared" si="34"/>
        <v>0.10714285714285715</v>
      </c>
      <c r="X59" s="609">
        <v>0</v>
      </c>
      <c r="Y59" s="609">
        <f t="shared" si="35"/>
        <v>1</v>
      </c>
      <c r="Z59" s="610" t="s">
        <v>668</v>
      </c>
      <c r="AA59" s="610" t="s">
        <v>668</v>
      </c>
      <c r="AB59" s="610" t="s">
        <v>669</v>
      </c>
      <c r="AC59" s="610" t="s">
        <v>672</v>
      </c>
      <c r="AD59" s="802" t="s">
        <v>671</v>
      </c>
      <c r="AE59" s="713" t="s">
        <v>556</v>
      </c>
      <c r="AF59" s="488"/>
      <c r="AG59" s="488"/>
      <c r="AH59" s="488"/>
      <c r="AI59" s="488"/>
      <c r="AJ59" s="488"/>
      <c r="AK59" s="488"/>
      <c r="AL59" s="488"/>
      <c r="AM59" s="488"/>
      <c r="AN59" s="488"/>
      <c r="AO59" s="488"/>
      <c r="AP59" s="488"/>
      <c r="AQ59" s="488"/>
      <c r="AR59" s="488"/>
      <c r="AS59" s="488"/>
      <c r="AT59" s="488"/>
      <c r="AU59" s="488"/>
      <c r="AV59" s="488"/>
      <c r="AW59" s="488"/>
      <c r="AX59" s="488"/>
      <c r="AY59" s="488"/>
      <c r="AZ59" s="488"/>
      <c r="BA59" s="488"/>
      <c r="BB59" s="488"/>
      <c r="BC59" s="488"/>
      <c r="BD59" s="488"/>
      <c r="BE59" s="488"/>
      <c r="BF59" s="488"/>
      <c r="BG59" s="488"/>
      <c r="BH59" s="488"/>
      <c r="BI59" s="488"/>
      <c r="BJ59" s="488"/>
      <c r="BK59" s="488"/>
      <c r="BL59" s="488"/>
      <c r="BM59" s="488"/>
      <c r="BN59" s="488"/>
      <c r="BO59" s="488"/>
      <c r="BP59" s="488"/>
      <c r="BQ59" s="488"/>
      <c r="BR59" s="488"/>
      <c r="BS59" s="488"/>
      <c r="BT59" s="488"/>
      <c r="BU59" s="488"/>
      <c r="BV59" s="488"/>
      <c r="BW59" s="488"/>
      <c r="BX59" s="488"/>
      <c r="BY59" s="488"/>
      <c r="BZ59" s="488"/>
    </row>
    <row r="60" spans="1:78" s="820" customFormat="1" ht="63.75" outlineLevel="1" x14ac:dyDescent="0.2">
      <c r="A60" s="494"/>
      <c r="B60" s="824">
        <v>38</v>
      </c>
      <c r="C60" s="611" t="s">
        <v>326</v>
      </c>
      <c r="D60" s="642" t="s">
        <v>631</v>
      </c>
      <c r="E60" s="821">
        <f>E59*0.2</f>
        <v>17634</v>
      </c>
      <c r="F60" s="821"/>
      <c r="G60" s="821"/>
      <c r="H60" s="827">
        <f>+F60+E60+G60</f>
        <v>17634</v>
      </c>
      <c r="I60" s="823">
        <f>+H60/1.11</f>
        <v>15886.486486486485</v>
      </c>
      <c r="J60" s="613" t="s">
        <v>332</v>
      </c>
      <c r="K60" s="688">
        <f>+H60</f>
        <v>17634</v>
      </c>
      <c r="L60" s="614">
        <v>0</v>
      </c>
      <c r="M60" s="614">
        <f t="shared" ref="M60" si="41">+K60*0.12</f>
        <v>2116.08</v>
      </c>
      <c r="N60" s="614">
        <v>0</v>
      </c>
      <c r="O60" s="614">
        <f t="shared" ref="O60" si="42">+K60+M60</f>
        <v>19750.080000000002</v>
      </c>
      <c r="P60" s="776" t="s">
        <v>632</v>
      </c>
      <c r="Q60" s="615" t="s">
        <v>273</v>
      </c>
      <c r="R60" s="776" t="s">
        <v>273</v>
      </c>
      <c r="S60" s="776" t="s">
        <v>273</v>
      </c>
      <c r="T60" s="776" t="s">
        <v>233</v>
      </c>
      <c r="U60" s="616">
        <f t="shared" ref="U60" si="43">+K60/O60</f>
        <v>0.89285714285714279</v>
      </c>
      <c r="V60" s="616">
        <v>0</v>
      </c>
      <c r="W60" s="616">
        <f t="shared" ref="W60" si="44">+M60/O60</f>
        <v>0.10714285714285712</v>
      </c>
      <c r="X60" s="616">
        <v>0</v>
      </c>
      <c r="Y60" s="616">
        <f t="shared" ref="Y60" si="45">+U60+W60</f>
        <v>0.99999999999999989</v>
      </c>
      <c r="Z60" s="814" t="s">
        <v>273</v>
      </c>
      <c r="AA60" s="814" t="s">
        <v>273</v>
      </c>
      <c r="AB60" s="814" t="s">
        <v>633</v>
      </c>
      <c r="AC60" s="814" t="s">
        <v>634</v>
      </c>
      <c r="AD60" s="814" t="s">
        <v>671</v>
      </c>
      <c r="AE60" s="711" t="s">
        <v>556</v>
      </c>
      <c r="AF60" s="488"/>
      <c r="AG60" s="488"/>
      <c r="AH60" s="488"/>
      <c r="AI60" s="488"/>
      <c r="AJ60" s="488"/>
      <c r="AK60" s="488"/>
      <c r="AL60" s="488"/>
      <c r="AM60" s="488"/>
      <c r="AN60" s="488"/>
      <c r="AO60" s="488"/>
      <c r="AP60" s="488"/>
      <c r="AQ60" s="488"/>
      <c r="AR60" s="488"/>
      <c r="AS60" s="488"/>
      <c r="AT60" s="488"/>
      <c r="AU60" s="488"/>
      <c r="AV60" s="488"/>
      <c r="AW60" s="488"/>
      <c r="AX60" s="488"/>
      <c r="AY60" s="488"/>
      <c r="AZ60" s="488"/>
      <c r="BA60" s="488"/>
      <c r="BB60" s="488"/>
      <c r="BC60" s="488"/>
      <c r="BD60" s="488"/>
      <c r="BE60" s="488"/>
      <c r="BF60" s="488"/>
      <c r="BG60" s="488"/>
      <c r="BH60" s="488"/>
      <c r="BI60" s="488"/>
      <c r="BJ60" s="488"/>
      <c r="BK60" s="488"/>
      <c r="BL60" s="488"/>
      <c r="BM60" s="488"/>
      <c r="BN60" s="488"/>
      <c r="BO60" s="488"/>
      <c r="BP60" s="488"/>
      <c r="BQ60" s="488"/>
      <c r="BR60" s="488"/>
      <c r="BS60" s="488"/>
      <c r="BT60" s="488"/>
      <c r="BU60" s="488"/>
      <c r="BV60" s="488"/>
      <c r="BW60" s="488"/>
      <c r="BX60" s="488"/>
      <c r="BY60" s="488"/>
      <c r="BZ60" s="488"/>
    </row>
    <row r="61" spans="1:78" s="831" customFormat="1" ht="87.75" customHeight="1" outlineLevel="1" x14ac:dyDescent="0.2">
      <c r="A61" s="494"/>
      <c r="B61" s="824">
        <v>39</v>
      </c>
      <c r="C61" s="611" t="s">
        <v>326</v>
      </c>
      <c r="D61" s="642" t="s">
        <v>619</v>
      </c>
      <c r="E61" s="821"/>
      <c r="F61" s="821">
        <v>37723.199999999997</v>
      </c>
      <c r="G61" s="856"/>
      <c r="H61" s="827">
        <f>E61+F61+G61</f>
        <v>37723.199999999997</v>
      </c>
      <c r="I61" s="857">
        <f>H61/1.11</f>
        <v>33984.86486486486</v>
      </c>
      <c r="J61" s="707" t="s">
        <v>332</v>
      </c>
      <c r="K61" s="858">
        <f>H61</f>
        <v>37723.199999999997</v>
      </c>
      <c r="L61" s="859"/>
      <c r="M61" s="859">
        <f>K61*0.12</f>
        <v>4526.7839999999997</v>
      </c>
      <c r="N61" s="859"/>
      <c r="O61" s="859">
        <f>M61+K61</f>
        <v>42249.983999999997</v>
      </c>
      <c r="P61" s="776" t="s">
        <v>638</v>
      </c>
      <c r="Q61" s="776" t="s">
        <v>295</v>
      </c>
      <c r="R61" s="776" t="s">
        <v>354</v>
      </c>
      <c r="S61" s="776" t="s">
        <v>306</v>
      </c>
      <c r="T61" s="776" t="s">
        <v>233</v>
      </c>
      <c r="U61" s="860"/>
      <c r="V61" s="860"/>
      <c r="W61" s="860"/>
      <c r="X61" s="860"/>
      <c r="Y61" s="860"/>
      <c r="Z61" s="814" t="s">
        <v>273</v>
      </c>
      <c r="AA61" s="814" t="s">
        <v>635</v>
      </c>
      <c r="AB61" s="814" t="s">
        <v>635</v>
      </c>
      <c r="AC61" s="814" t="s">
        <v>644</v>
      </c>
      <c r="AD61" s="814" t="s">
        <v>627</v>
      </c>
      <c r="AE61" s="711"/>
      <c r="AF61" s="488"/>
      <c r="AG61" s="488"/>
      <c r="AH61" s="488"/>
      <c r="AI61" s="488"/>
      <c r="AJ61" s="488"/>
      <c r="AK61" s="488"/>
      <c r="AL61" s="488"/>
      <c r="AM61" s="488"/>
      <c r="AN61" s="488"/>
      <c r="AO61" s="488"/>
      <c r="AP61" s="488"/>
      <c r="AQ61" s="488"/>
      <c r="AR61" s="488"/>
      <c r="AS61" s="488"/>
      <c r="AT61" s="488"/>
      <c r="AU61" s="488"/>
      <c r="AV61" s="488"/>
      <c r="AW61" s="488"/>
      <c r="AX61" s="488"/>
      <c r="AY61" s="488"/>
      <c r="AZ61" s="488"/>
      <c r="BA61" s="488"/>
      <c r="BB61" s="488"/>
      <c r="BC61" s="488"/>
      <c r="BD61" s="488"/>
      <c r="BE61" s="488"/>
      <c r="BF61" s="488"/>
      <c r="BG61" s="488"/>
      <c r="BH61" s="488"/>
      <c r="BI61" s="488"/>
      <c r="BJ61" s="488"/>
      <c r="BK61" s="488"/>
      <c r="BL61" s="488"/>
      <c r="BM61" s="488"/>
      <c r="BN61" s="488"/>
      <c r="BO61" s="488"/>
      <c r="BP61" s="488"/>
      <c r="BQ61" s="488"/>
      <c r="BR61" s="488"/>
      <c r="BS61" s="488"/>
      <c r="BT61" s="488"/>
      <c r="BU61" s="488"/>
      <c r="BV61" s="488"/>
      <c r="BW61" s="488"/>
      <c r="BX61" s="488"/>
      <c r="BY61" s="488"/>
      <c r="BZ61" s="488"/>
    </row>
    <row r="62" spans="1:78" ht="78.75" customHeight="1" outlineLevel="1" x14ac:dyDescent="0.2">
      <c r="A62" s="494"/>
      <c r="B62" s="824">
        <v>40</v>
      </c>
      <c r="C62" s="602" t="s">
        <v>326</v>
      </c>
      <c r="D62" s="634" t="s">
        <v>691</v>
      </c>
      <c r="E62" s="677">
        <v>130680</v>
      </c>
      <c r="F62" s="677"/>
      <c r="G62" s="677"/>
      <c r="H62" s="827">
        <f>+F62+E62+G62</f>
        <v>130680</v>
      </c>
      <c r="I62" s="606">
        <f t="shared" ref="I62:I74" si="46">+H62/1.11</f>
        <v>117729.72972972972</v>
      </c>
      <c r="J62" s="607" t="s">
        <v>332</v>
      </c>
      <c r="K62" s="685">
        <f t="shared" ref="K62:K74" si="47">+H62</f>
        <v>130680</v>
      </c>
      <c r="L62" s="605">
        <v>0</v>
      </c>
      <c r="M62" s="605">
        <f t="shared" si="31"/>
        <v>15681.599999999999</v>
      </c>
      <c r="N62" s="605">
        <v>0</v>
      </c>
      <c r="O62" s="605">
        <f t="shared" si="32"/>
        <v>146361.60000000001</v>
      </c>
      <c r="P62" s="770" t="s">
        <v>550</v>
      </c>
      <c r="Q62" s="770" t="s">
        <v>295</v>
      </c>
      <c r="R62" s="770" t="s">
        <v>358</v>
      </c>
      <c r="S62" s="770" t="s">
        <v>302</v>
      </c>
      <c r="T62" s="770" t="s">
        <v>233</v>
      </c>
      <c r="U62" s="609">
        <f t="shared" si="33"/>
        <v>0.89285714285714279</v>
      </c>
      <c r="V62" s="609">
        <v>0</v>
      </c>
      <c r="W62" s="609">
        <f t="shared" si="34"/>
        <v>0.10714285714285712</v>
      </c>
      <c r="X62" s="609">
        <v>0</v>
      </c>
      <c r="Y62" s="609">
        <f t="shared" si="35"/>
        <v>0.99999999999999989</v>
      </c>
      <c r="Z62" s="610" t="s">
        <v>668</v>
      </c>
      <c r="AA62" s="610" t="s">
        <v>668</v>
      </c>
      <c r="AB62" s="610" t="s">
        <v>669</v>
      </c>
      <c r="AC62" s="610" t="s">
        <v>650</v>
      </c>
      <c r="AD62" s="802" t="s">
        <v>666</v>
      </c>
      <c r="AE62" s="713" t="s">
        <v>556</v>
      </c>
      <c r="AF62" s="488"/>
      <c r="AG62" s="488"/>
      <c r="AH62" s="488"/>
      <c r="AI62" s="488"/>
      <c r="AJ62" s="488"/>
      <c r="AK62" s="488"/>
      <c r="AL62" s="488"/>
      <c r="AM62" s="488"/>
      <c r="AN62" s="488"/>
      <c r="AO62" s="488"/>
      <c r="AP62" s="488"/>
      <c r="AQ62" s="488"/>
      <c r="AR62" s="488"/>
      <c r="AS62" s="488"/>
      <c r="AT62" s="488"/>
      <c r="AU62" s="488"/>
      <c r="AV62" s="488"/>
      <c r="AW62" s="488"/>
      <c r="AX62" s="488"/>
      <c r="AY62" s="488"/>
      <c r="AZ62" s="488"/>
      <c r="BA62" s="488"/>
      <c r="BB62" s="488"/>
      <c r="BC62" s="488"/>
      <c r="BD62" s="488"/>
      <c r="BE62" s="488"/>
      <c r="BF62" s="488"/>
      <c r="BG62" s="488"/>
      <c r="BH62" s="488"/>
      <c r="BI62" s="488"/>
      <c r="BJ62" s="488"/>
      <c r="BK62" s="488"/>
      <c r="BL62" s="488"/>
      <c r="BM62" s="488"/>
      <c r="BN62" s="488"/>
      <c r="BO62" s="488"/>
      <c r="BP62" s="488"/>
      <c r="BQ62" s="488"/>
      <c r="BR62" s="488"/>
      <c r="BS62" s="488"/>
      <c r="BT62" s="488"/>
      <c r="BU62" s="488"/>
      <c r="BV62" s="488"/>
      <c r="BW62" s="488"/>
      <c r="BX62" s="488"/>
      <c r="BY62" s="488"/>
      <c r="BZ62" s="488"/>
    </row>
    <row r="63" spans="1:78" ht="78.75" customHeight="1" outlineLevel="1" x14ac:dyDescent="0.2">
      <c r="A63" s="494"/>
      <c r="B63" s="824">
        <v>41</v>
      </c>
      <c r="C63" s="611" t="s">
        <v>326</v>
      </c>
      <c r="D63" s="861" t="s">
        <v>686</v>
      </c>
      <c r="E63" s="676"/>
      <c r="F63" s="821">
        <v>37723.199999999997</v>
      </c>
      <c r="G63" s="862"/>
      <c r="H63" s="827">
        <f>E63+F63+G63</f>
        <v>37723.199999999997</v>
      </c>
      <c r="I63" s="823">
        <f>H63/1.11</f>
        <v>33984.86486486486</v>
      </c>
      <c r="J63" s="613" t="s">
        <v>332</v>
      </c>
      <c r="K63" s="688">
        <f>H63</f>
        <v>37723.199999999997</v>
      </c>
      <c r="L63" s="614"/>
      <c r="M63" s="614">
        <f>K63*0.12</f>
        <v>4526.7839999999997</v>
      </c>
      <c r="N63" s="614"/>
      <c r="O63" s="614">
        <f>M63+K63</f>
        <v>42249.983999999997</v>
      </c>
      <c r="P63" s="776" t="s">
        <v>638</v>
      </c>
      <c r="Q63" s="615" t="s">
        <v>295</v>
      </c>
      <c r="R63" s="615" t="s">
        <v>354</v>
      </c>
      <c r="S63" s="615" t="s">
        <v>306</v>
      </c>
      <c r="T63" s="615" t="s">
        <v>233</v>
      </c>
      <c r="U63" s="616"/>
      <c r="V63" s="616"/>
      <c r="W63" s="616"/>
      <c r="X63" s="616"/>
      <c r="Y63" s="616"/>
      <c r="Z63" s="617" t="s">
        <v>273</v>
      </c>
      <c r="AA63" s="814" t="s">
        <v>635</v>
      </c>
      <c r="AB63" s="814" t="s">
        <v>687</v>
      </c>
      <c r="AC63" s="814" t="s">
        <v>644</v>
      </c>
      <c r="AD63" s="814" t="s">
        <v>627</v>
      </c>
      <c r="AE63" s="711"/>
      <c r="AF63" s="488"/>
      <c r="AG63" s="488"/>
      <c r="AH63" s="488"/>
      <c r="AI63" s="488"/>
      <c r="AJ63" s="488"/>
      <c r="AK63" s="488"/>
      <c r="AL63" s="488"/>
      <c r="AM63" s="488"/>
      <c r="AN63" s="488"/>
      <c r="AO63" s="488"/>
      <c r="AP63" s="488"/>
      <c r="AQ63" s="488"/>
      <c r="AR63" s="488"/>
      <c r="AS63" s="488"/>
      <c r="AT63" s="488"/>
      <c r="AU63" s="488"/>
      <c r="AV63" s="488"/>
      <c r="AW63" s="488"/>
      <c r="AX63" s="488"/>
      <c r="AY63" s="488"/>
      <c r="AZ63" s="488"/>
      <c r="BA63" s="488"/>
      <c r="BB63" s="488"/>
      <c r="BC63" s="488"/>
      <c r="BD63" s="488"/>
      <c r="BE63" s="488"/>
      <c r="BF63" s="488"/>
      <c r="BG63" s="488"/>
      <c r="BH63" s="488"/>
      <c r="BI63" s="488"/>
      <c r="BJ63" s="488"/>
      <c r="BK63" s="488"/>
      <c r="BL63" s="488"/>
      <c r="BM63" s="488"/>
      <c r="BN63" s="488"/>
      <c r="BO63" s="488"/>
      <c r="BP63" s="488"/>
      <c r="BQ63" s="488"/>
      <c r="BR63" s="488"/>
      <c r="BS63" s="488"/>
      <c r="BT63" s="488"/>
      <c r="BU63" s="488"/>
      <c r="BV63" s="488"/>
      <c r="BW63" s="488"/>
      <c r="BX63" s="488"/>
      <c r="BY63" s="488"/>
      <c r="BZ63" s="488"/>
    </row>
    <row r="64" spans="1:78" ht="69.75" customHeight="1" outlineLevel="1" x14ac:dyDescent="0.2">
      <c r="A64" s="494"/>
      <c r="B64" s="824">
        <v>42</v>
      </c>
      <c r="C64" s="602" t="s">
        <v>326</v>
      </c>
      <c r="D64" s="632" t="s">
        <v>621</v>
      </c>
      <c r="E64" s="676">
        <v>60705</v>
      </c>
      <c r="F64" s="676"/>
      <c r="G64" s="676"/>
      <c r="H64" s="827">
        <f>+F64+E64+G64</f>
        <v>60705</v>
      </c>
      <c r="I64" s="606">
        <f t="shared" si="46"/>
        <v>54689.189189189186</v>
      </c>
      <c r="J64" s="607" t="s">
        <v>332</v>
      </c>
      <c r="K64" s="685">
        <f t="shared" si="47"/>
        <v>60705</v>
      </c>
      <c r="L64" s="605">
        <v>0</v>
      </c>
      <c r="M64" s="605">
        <f t="shared" si="31"/>
        <v>7284.5999999999995</v>
      </c>
      <c r="N64" s="605">
        <v>0</v>
      </c>
      <c r="O64" s="605">
        <f t="shared" si="32"/>
        <v>67989.600000000006</v>
      </c>
      <c r="P64" s="704" t="s">
        <v>291</v>
      </c>
      <c r="Q64" s="608" t="s">
        <v>295</v>
      </c>
      <c r="R64" s="608" t="s">
        <v>358</v>
      </c>
      <c r="S64" s="608" t="s">
        <v>302</v>
      </c>
      <c r="T64" s="608" t="s">
        <v>233</v>
      </c>
      <c r="U64" s="609">
        <f t="shared" si="33"/>
        <v>0.89285714285714279</v>
      </c>
      <c r="V64" s="609">
        <v>0</v>
      </c>
      <c r="W64" s="609">
        <f t="shared" si="34"/>
        <v>0.10714285714285712</v>
      </c>
      <c r="X64" s="609">
        <v>0</v>
      </c>
      <c r="Y64" s="609">
        <f t="shared" si="35"/>
        <v>0.99999999999999989</v>
      </c>
      <c r="Z64" s="610" t="s">
        <v>668</v>
      </c>
      <c r="AA64" s="610" t="s">
        <v>668</v>
      </c>
      <c r="AB64" s="610" t="s">
        <v>669</v>
      </c>
      <c r="AC64" s="610" t="s">
        <v>670</v>
      </c>
      <c r="AD64" s="802" t="s">
        <v>667</v>
      </c>
      <c r="AE64" s="713" t="s">
        <v>556</v>
      </c>
      <c r="AF64" s="488"/>
      <c r="AG64" s="488"/>
      <c r="AH64" s="488"/>
      <c r="AI64" s="488"/>
      <c r="AJ64" s="488"/>
      <c r="AK64" s="488"/>
      <c r="AL64" s="488"/>
      <c r="AM64" s="488"/>
      <c r="AN64" s="488"/>
      <c r="AO64" s="488"/>
      <c r="AP64" s="488"/>
      <c r="AQ64" s="488"/>
      <c r="AR64" s="488"/>
      <c r="AS64" s="488"/>
      <c r="AT64" s="488"/>
      <c r="AU64" s="488"/>
      <c r="AV64" s="488"/>
      <c r="AW64" s="488"/>
      <c r="AX64" s="488"/>
      <c r="AY64" s="488"/>
      <c r="AZ64" s="488"/>
      <c r="BA64" s="488"/>
      <c r="BB64" s="488"/>
      <c r="BC64" s="488"/>
      <c r="BD64" s="488"/>
      <c r="BE64" s="488"/>
      <c r="BF64" s="488"/>
      <c r="BG64" s="488"/>
      <c r="BH64" s="488"/>
      <c r="BI64" s="488"/>
      <c r="BJ64" s="488"/>
      <c r="BK64" s="488"/>
      <c r="BL64" s="488"/>
      <c r="BM64" s="488"/>
      <c r="BN64" s="488"/>
      <c r="BO64" s="488"/>
      <c r="BP64" s="488"/>
      <c r="BQ64" s="488"/>
      <c r="BR64" s="488"/>
      <c r="BS64" s="488"/>
      <c r="BT64" s="488"/>
      <c r="BU64" s="488"/>
      <c r="BV64" s="488"/>
      <c r="BW64" s="488"/>
      <c r="BX64" s="488"/>
      <c r="BY64" s="488"/>
      <c r="BZ64" s="488"/>
    </row>
    <row r="65" spans="1:78" ht="45.75" customHeight="1" outlineLevel="1" x14ac:dyDescent="0.2">
      <c r="A65" s="494"/>
      <c r="B65" s="824">
        <v>43</v>
      </c>
      <c r="C65" s="602" t="s">
        <v>326</v>
      </c>
      <c r="D65" s="632" t="s">
        <v>620</v>
      </c>
      <c r="E65" s="676">
        <v>61209</v>
      </c>
      <c r="F65" s="676"/>
      <c r="G65" s="676"/>
      <c r="H65" s="827">
        <f>+F65+E65+G65</f>
        <v>61209</v>
      </c>
      <c r="I65" s="606">
        <f t="shared" si="46"/>
        <v>55143.24324324324</v>
      </c>
      <c r="J65" s="607" t="s">
        <v>332</v>
      </c>
      <c r="K65" s="685">
        <f t="shared" si="47"/>
        <v>61209</v>
      </c>
      <c r="L65" s="605">
        <v>0</v>
      </c>
      <c r="M65" s="605">
        <f t="shared" si="31"/>
        <v>7345.08</v>
      </c>
      <c r="N65" s="605">
        <v>0</v>
      </c>
      <c r="O65" s="605">
        <f t="shared" si="32"/>
        <v>68554.080000000002</v>
      </c>
      <c r="P65" s="704" t="s">
        <v>291</v>
      </c>
      <c r="Q65" s="608" t="s">
        <v>295</v>
      </c>
      <c r="R65" s="770" t="s">
        <v>304</v>
      </c>
      <c r="S65" s="608" t="s">
        <v>302</v>
      </c>
      <c r="T65" s="608" t="s">
        <v>233</v>
      </c>
      <c r="U65" s="609">
        <f t="shared" si="33"/>
        <v>0.89285714285714279</v>
      </c>
      <c r="V65" s="609">
        <v>0</v>
      </c>
      <c r="W65" s="609">
        <f t="shared" si="34"/>
        <v>0.10714285714285714</v>
      </c>
      <c r="X65" s="609">
        <v>0</v>
      </c>
      <c r="Y65" s="609">
        <f t="shared" si="35"/>
        <v>0.99999999999999989</v>
      </c>
      <c r="Z65" s="610" t="s">
        <v>665</v>
      </c>
      <c r="AA65" s="610" t="s">
        <v>664</v>
      </c>
      <c r="AB65" s="610" t="s">
        <v>664</v>
      </c>
      <c r="AC65" s="610" t="s">
        <v>657</v>
      </c>
      <c r="AD65" s="802" t="s">
        <v>666</v>
      </c>
      <c r="AE65" s="713" t="s">
        <v>556</v>
      </c>
      <c r="AF65" s="488"/>
      <c r="AG65" s="488"/>
      <c r="AH65" s="488"/>
      <c r="AI65" s="488"/>
      <c r="AJ65" s="488"/>
      <c r="AK65" s="488"/>
      <c r="AL65" s="488"/>
      <c r="AM65" s="488"/>
      <c r="AN65" s="488"/>
      <c r="AO65" s="488"/>
      <c r="AP65" s="488"/>
      <c r="AQ65" s="488"/>
      <c r="AR65" s="488"/>
      <c r="AS65" s="488"/>
      <c r="AT65" s="488"/>
      <c r="AU65" s="488"/>
      <c r="AV65" s="488"/>
      <c r="AW65" s="488"/>
      <c r="AX65" s="488"/>
      <c r="AY65" s="488"/>
      <c r="AZ65" s="488"/>
      <c r="BA65" s="488"/>
      <c r="BB65" s="488"/>
      <c r="BC65" s="488"/>
      <c r="BD65" s="488"/>
      <c r="BE65" s="488"/>
      <c r="BF65" s="488"/>
      <c r="BG65" s="488"/>
      <c r="BH65" s="488"/>
      <c r="BI65" s="488"/>
      <c r="BJ65" s="488"/>
      <c r="BK65" s="488"/>
      <c r="BL65" s="488"/>
      <c r="BM65" s="488"/>
      <c r="BN65" s="488"/>
      <c r="BO65" s="488"/>
      <c r="BP65" s="488"/>
      <c r="BQ65" s="488"/>
      <c r="BR65" s="488"/>
      <c r="BS65" s="488"/>
      <c r="BT65" s="488"/>
      <c r="BU65" s="488"/>
      <c r="BV65" s="488"/>
      <c r="BW65" s="488"/>
      <c r="BX65" s="488"/>
      <c r="BY65" s="488"/>
      <c r="BZ65" s="488"/>
    </row>
    <row r="66" spans="1:78" ht="45.75" customHeight="1" outlineLevel="1" x14ac:dyDescent="0.2">
      <c r="A66" s="494"/>
      <c r="B66" s="824">
        <v>44</v>
      </c>
      <c r="C66" s="611" t="s">
        <v>326</v>
      </c>
      <c r="D66" s="642" t="s">
        <v>620</v>
      </c>
      <c r="E66" s="855"/>
      <c r="F66" s="821">
        <v>37723.199999999997</v>
      </c>
      <c r="G66" s="862"/>
      <c r="H66" s="827">
        <f>E66+F66+G66</f>
        <v>37723.199999999997</v>
      </c>
      <c r="I66" s="823">
        <f>+H66/1.11</f>
        <v>33984.86486486486</v>
      </c>
      <c r="J66" s="613" t="s">
        <v>332</v>
      </c>
      <c r="K66" s="688">
        <f>+H66</f>
        <v>37723.199999999997</v>
      </c>
      <c r="L66" s="614">
        <v>0</v>
      </c>
      <c r="M66" s="614">
        <f>+K66*0.12</f>
        <v>4526.7839999999997</v>
      </c>
      <c r="N66" s="614">
        <v>0</v>
      </c>
      <c r="O66" s="614">
        <f>+K66+M66</f>
        <v>42249.983999999997</v>
      </c>
      <c r="P66" s="776" t="s">
        <v>638</v>
      </c>
      <c r="Q66" s="615" t="s">
        <v>295</v>
      </c>
      <c r="R66" s="615" t="s">
        <v>354</v>
      </c>
      <c r="S66" s="776" t="s">
        <v>361</v>
      </c>
      <c r="T66" s="615" t="s">
        <v>233</v>
      </c>
      <c r="U66" s="616">
        <f t="shared" ref="U66" si="48">+K66/O66</f>
        <v>0.8928571428571429</v>
      </c>
      <c r="V66" s="616">
        <v>0</v>
      </c>
      <c r="W66" s="616">
        <f t="shared" ref="W66" si="49">+M66/O66</f>
        <v>0.10714285714285714</v>
      </c>
      <c r="X66" s="616">
        <v>0</v>
      </c>
      <c r="Y66" s="616">
        <f t="shared" ref="Y66" si="50">+U66+W66</f>
        <v>1</v>
      </c>
      <c r="Z66" s="617" t="s">
        <v>273</v>
      </c>
      <c r="AA66" s="814" t="s">
        <v>635</v>
      </c>
      <c r="AB66" s="814" t="s">
        <v>635</v>
      </c>
      <c r="AC66" s="814" t="s">
        <v>644</v>
      </c>
      <c r="AD66" s="814" t="s">
        <v>627</v>
      </c>
      <c r="AE66" s="711"/>
      <c r="AF66" s="488"/>
      <c r="AG66" s="488"/>
      <c r="AH66" s="488"/>
      <c r="AI66" s="488"/>
      <c r="AJ66" s="488"/>
      <c r="AK66" s="488"/>
      <c r="AL66" s="488"/>
      <c r="AM66" s="488"/>
      <c r="AN66" s="488"/>
      <c r="AO66" s="488"/>
      <c r="AP66" s="488"/>
      <c r="AQ66" s="488"/>
      <c r="AR66" s="488"/>
      <c r="AS66" s="488"/>
      <c r="AT66" s="488"/>
      <c r="AU66" s="488"/>
      <c r="AV66" s="488"/>
      <c r="AW66" s="488"/>
      <c r="AX66" s="488"/>
      <c r="AY66" s="488"/>
      <c r="AZ66" s="488"/>
      <c r="BA66" s="488"/>
      <c r="BB66" s="488"/>
      <c r="BC66" s="488"/>
      <c r="BD66" s="488"/>
      <c r="BE66" s="488"/>
      <c r="BF66" s="488"/>
      <c r="BG66" s="488"/>
      <c r="BH66" s="488"/>
      <c r="BI66" s="488"/>
      <c r="BJ66" s="488"/>
      <c r="BK66" s="488"/>
      <c r="BL66" s="488"/>
      <c r="BM66" s="488"/>
      <c r="BN66" s="488"/>
      <c r="BO66" s="488"/>
      <c r="BP66" s="488"/>
      <c r="BQ66" s="488"/>
      <c r="BR66" s="488"/>
      <c r="BS66" s="488"/>
      <c r="BT66" s="488"/>
      <c r="BU66" s="488"/>
      <c r="BV66" s="488"/>
      <c r="BW66" s="488"/>
      <c r="BX66" s="488"/>
      <c r="BY66" s="488"/>
      <c r="BZ66" s="488"/>
    </row>
    <row r="67" spans="1:78" ht="45.75" customHeight="1" outlineLevel="1" x14ac:dyDescent="0.2">
      <c r="A67" s="494"/>
      <c r="B67" s="824">
        <v>45</v>
      </c>
      <c r="C67" s="602" t="s">
        <v>326</v>
      </c>
      <c r="D67" s="702" t="s">
        <v>309</v>
      </c>
      <c r="E67" s="676">
        <v>36000</v>
      </c>
      <c r="F67" s="676"/>
      <c r="G67" s="676"/>
      <c r="H67" s="827">
        <f>+F67+E67+G67</f>
        <v>36000</v>
      </c>
      <c r="I67" s="606">
        <f t="shared" si="46"/>
        <v>32432.43243243243</v>
      </c>
      <c r="J67" s="607" t="s">
        <v>332</v>
      </c>
      <c r="K67" s="685">
        <f t="shared" si="47"/>
        <v>36000</v>
      </c>
      <c r="L67" s="605">
        <v>0</v>
      </c>
      <c r="M67" s="605">
        <f t="shared" si="3"/>
        <v>4320</v>
      </c>
      <c r="N67" s="605">
        <v>0</v>
      </c>
      <c r="O67" s="605">
        <f t="shared" si="4"/>
        <v>40320</v>
      </c>
      <c r="P67" s="608" t="s">
        <v>550</v>
      </c>
      <c r="Q67" s="608" t="s">
        <v>295</v>
      </c>
      <c r="R67" s="608" t="s">
        <v>304</v>
      </c>
      <c r="S67" s="608" t="s">
        <v>306</v>
      </c>
      <c r="T67" s="608" t="s">
        <v>233</v>
      </c>
      <c r="U67" s="609">
        <f t="shared" si="11"/>
        <v>0.8928571428571429</v>
      </c>
      <c r="V67" s="609">
        <v>0</v>
      </c>
      <c r="W67" s="609">
        <f t="shared" ref="W67:W86" si="51">+M67/O67</f>
        <v>0.10714285714285714</v>
      </c>
      <c r="X67" s="609">
        <v>0</v>
      </c>
      <c r="Y67" s="609">
        <f t="shared" ref="Y67:Y86" si="52">+U67+W67</f>
        <v>1</v>
      </c>
      <c r="Z67" s="770" t="s">
        <v>273</v>
      </c>
      <c r="AA67" s="610" t="s">
        <v>663</v>
      </c>
      <c r="AB67" s="610" t="s">
        <v>663</v>
      </c>
      <c r="AC67" s="610" t="s">
        <v>650</v>
      </c>
      <c r="AD67" s="813" t="s">
        <v>356</v>
      </c>
      <c r="AE67" s="713" t="s">
        <v>556</v>
      </c>
      <c r="AF67" s="488"/>
      <c r="AG67" s="488"/>
      <c r="AH67" s="488"/>
      <c r="AI67" s="488"/>
      <c r="AJ67" s="488"/>
      <c r="AK67" s="488"/>
      <c r="AL67" s="488"/>
      <c r="AM67" s="488"/>
      <c r="AN67" s="488"/>
      <c r="AO67" s="488"/>
      <c r="AP67" s="488"/>
      <c r="AQ67" s="488"/>
      <c r="AR67" s="488"/>
      <c r="AS67" s="488"/>
      <c r="AT67" s="488"/>
      <c r="AU67" s="488"/>
      <c r="AV67" s="488"/>
      <c r="AW67" s="488"/>
      <c r="AX67" s="488"/>
      <c r="AY67" s="488"/>
      <c r="AZ67" s="488"/>
      <c r="BA67" s="488"/>
      <c r="BB67" s="488"/>
      <c r="BC67" s="488"/>
      <c r="BD67" s="488"/>
      <c r="BE67" s="488"/>
      <c r="BF67" s="488"/>
      <c r="BG67" s="488"/>
      <c r="BH67" s="488"/>
      <c r="BI67" s="488"/>
      <c r="BJ67" s="488"/>
      <c r="BK67" s="488"/>
      <c r="BL67" s="488"/>
      <c r="BM67" s="488"/>
      <c r="BN67" s="488"/>
      <c r="BO67" s="488"/>
      <c r="BP67" s="488"/>
      <c r="BQ67" s="488"/>
      <c r="BR67" s="488"/>
      <c r="BS67" s="488"/>
      <c r="BT67" s="488"/>
      <c r="BU67" s="488"/>
      <c r="BV67" s="488"/>
      <c r="BW67" s="488"/>
      <c r="BX67" s="488"/>
      <c r="BY67" s="488"/>
      <c r="BZ67" s="488"/>
    </row>
    <row r="68" spans="1:78" ht="45.75" customHeight="1" outlineLevel="1" x14ac:dyDescent="0.2">
      <c r="A68" s="494"/>
      <c r="B68" s="824">
        <v>46</v>
      </c>
      <c r="C68" s="611" t="s">
        <v>326</v>
      </c>
      <c r="D68" s="825" t="s">
        <v>640</v>
      </c>
      <c r="E68" s="676"/>
      <c r="F68" s="676">
        <v>6840</v>
      </c>
      <c r="G68" s="676"/>
      <c r="H68" s="827">
        <f>E68+F68+G68</f>
        <v>6840</v>
      </c>
      <c r="I68" s="823">
        <f t="shared" si="46"/>
        <v>6162.1621621621616</v>
      </c>
      <c r="J68" s="613">
        <v>730601</v>
      </c>
      <c r="K68" s="688">
        <f t="shared" si="47"/>
        <v>6840</v>
      </c>
      <c r="L68" s="614"/>
      <c r="M68" s="614">
        <f t="shared" si="3"/>
        <v>820.8</v>
      </c>
      <c r="N68" s="614"/>
      <c r="O68" s="614">
        <f t="shared" si="4"/>
        <v>7660.8</v>
      </c>
      <c r="P68" s="615" t="s">
        <v>632</v>
      </c>
      <c r="Q68" s="615" t="s">
        <v>273</v>
      </c>
      <c r="R68" s="615" t="s">
        <v>273</v>
      </c>
      <c r="S68" s="615" t="s">
        <v>273</v>
      </c>
      <c r="T68" s="615" t="s">
        <v>233</v>
      </c>
      <c r="U68" s="616">
        <f t="shared" si="11"/>
        <v>0.89285714285714279</v>
      </c>
      <c r="V68" s="616"/>
      <c r="W68" s="616">
        <f t="shared" si="51"/>
        <v>0.10714285714285714</v>
      </c>
      <c r="X68" s="616"/>
      <c r="Y68" s="616">
        <f t="shared" si="52"/>
        <v>0.99999999999999989</v>
      </c>
      <c r="Z68" s="615" t="s">
        <v>273</v>
      </c>
      <c r="AA68" s="617" t="s">
        <v>273</v>
      </c>
      <c r="AB68" s="814" t="s">
        <v>630</v>
      </c>
      <c r="AC68" s="814" t="s">
        <v>652</v>
      </c>
      <c r="AD68" s="826" t="s">
        <v>330</v>
      </c>
      <c r="AE68" s="711"/>
      <c r="AF68" s="488"/>
      <c r="AG68" s="488"/>
      <c r="AH68" s="488"/>
      <c r="AI68" s="488"/>
      <c r="AJ68" s="488"/>
      <c r="AK68" s="488"/>
      <c r="AL68" s="488"/>
      <c r="AM68" s="488"/>
      <c r="AN68" s="488"/>
      <c r="AO68" s="488"/>
      <c r="AP68" s="488"/>
      <c r="AQ68" s="488"/>
      <c r="AR68" s="488"/>
      <c r="AS68" s="488"/>
      <c r="AT68" s="488"/>
      <c r="AU68" s="488"/>
      <c r="AV68" s="488"/>
      <c r="AW68" s="488"/>
      <c r="AX68" s="488"/>
      <c r="AY68" s="488"/>
      <c r="AZ68" s="488"/>
      <c r="BA68" s="488"/>
      <c r="BB68" s="488"/>
      <c r="BC68" s="488"/>
      <c r="BD68" s="488"/>
      <c r="BE68" s="488"/>
      <c r="BF68" s="488"/>
      <c r="BG68" s="488"/>
      <c r="BH68" s="488"/>
      <c r="BI68" s="488"/>
      <c r="BJ68" s="488"/>
      <c r="BK68" s="488"/>
      <c r="BL68" s="488"/>
      <c r="BM68" s="488"/>
      <c r="BN68" s="488"/>
      <c r="BO68" s="488"/>
      <c r="BP68" s="488"/>
      <c r="BQ68" s="488"/>
      <c r="BR68" s="488"/>
      <c r="BS68" s="488"/>
      <c r="BT68" s="488"/>
      <c r="BU68" s="488"/>
      <c r="BV68" s="488"/>
      <c r="BW68" s="488"/>
      <c r="BX68" s="488"/>
      <c r="BY68" s="488"/>
      <c r="BZ68" s="488"/>
    </row>
    <row r="69" spans="1:78" ht="45.75" customHeight="1" outlineLevel="1" x14ac:dyDescent="0.2">
      <c r="A69" s="494"/>
      <c r="B69" s="824">
        <v>47</v>
      </c>
      <c r="C69" s="611" t="s">
        <v>326</v>
      </c>
      <c r="D69" s="825" t="s">
        <v>653</v>
      </c>
      <c r="E69" s="676"/>
      <c r="F69" s="821">
        <v>14994</v>
      </c>
      <c r="G69" s="855"/>
      <c r="H69" s="827">
        <f>+F69+E69+G69</f>
        <v>14994</v>
      </c>
      <c r="I69" s="823">
        <f t="shared" si="46"/>
        <v>13508.108108108107</v>
      </c>
      <c r="J69" s="613" t="s">
        <v>332</v>
      </c>
      <c r="K69" s="688">
        <f t="shared" si="47"/>
        <v>14994</v>
      </c>
      <c r="L69" s="614">
        <v>0</v>
      </c>
      <c r="M69" s="614">
        <f>H69*0.12</f>
        <v>1799.28</v>
      </c>
      <c r="N69" s="614">
        <v>0</v>
      </c>
      <c r="O69" s="614">
        <f>H69+M69</f>
        <v>16793.28</v>
      </c>
      <c r="P69" s="615" t="s">
        <v>550</v>
      </c>
      <c r="Q69" s="776" t="s">
        <v>273</v>
      </c>
      <c r="R69" s="615" t="s">
        <v>299</v>
      </c>
      <c r="S69" s="776" t="s">
        <v>273</v>
      </c>
      <c r="T69" s="615" t="s">
        <v>233</v>
      </c>
      <c r="U69" s="616">
        <f t="shared" si="11"/>
        <v>0.8928571428571429</v>
      </c>
      <c r="V69" s="616"/>
      <c r="W69" s="616"/>
      <c r="X69" s="616"/>
      <c r="Y69" s="616"/>
      <c r="Z69" s="776" t="s">
        <v>273</v>
      </c>
      <c r="AA69" s="814" t="s">
        <v>642</v>
      </c>
      <c r="AB69" s="814" t="s">
        <v>646</v>
      </c>
      <c r="AC69" s="814" t="s">
        <v>645</v>
      </c>
      <c r="AD69" s="826" t="s">
        <v>330</v>
      </c>
      <c r="AE69" s="711"/>
      <c r="AF69" s="488"/>
      <c r="AG69" s="488"/>
      <c r="AH69" s="488"/>
      <c r="AI69" s="488"/>
      <c r="AJ69" s="488"/>
      <c r="AK69" s="488"/>
      <c r="AL69" s="488"/>
      <c r="AM69" s="488"/>
      <c r="AN69" s="488"/>
      <c r="AO69" s="488"/>
      <c r="AP69" s="488"/>
      <c r="AQ69" s="488"/>
      <c r="AR69" s="488"/>
      <c r="AS69" s="488"/>
      <c r="AT69" s="488"/>
      <c r="AU69" s="488"/>
      <c r="AV69" s="488"/>
      <c r="AW69" s="488"/>
      <c r="AX69" s="488"/>
      <c r="AY69" s="488"/>
      <c r="AZ69" s="488"/>
      <c r="BA69" s="488"/>
      <c r="BB69" s="488"/>
      <c r="BC69" s="488"/>
      <c r="BD69" s="488"/>
      <c r="BE69" s="488"/>
      <c r="BF69" s="488"/>
      <c r="BG69" s="488"/>
      <c r="BH69" s="488"/>
      <c r="BI69" s="488"/>
      <c r="BJ69" s="488"/>
      <c r="BK69" s="488"/>
      <c r="BL69" s="488"/>
      <c r="BM69" s="488"/>
      <c r="BN69" s="488"/>
      <c r="BO69" s="488"/>
      <c r="BP69" s="488"/>
      <c r="BQ69" s="488"/>
      <c r="BR69" s="488"/>
      <c r="BS69" s="488"/>
      <c r="BT69" s="488"/>
      <c r="BU69" s="488"/>
      <c r="BV69" s="488"/>
      <c r="BW69" s="488"/>
      <c r="BX69" s="488"/>
      <c r="BY69" s="488"/>
      <c r="BZ69" s="488"/>
    </row>
    <row r="70" spans="1:78" ht="59.25" customHeight="1" outlineLevel="1" x14ac:dyDescent="0.2">
      <c r="A70" s="494"/>
      <c r="B70" s="824">
        <v>48</v>
      </c>
      <c r="C70" s="602" t="s">
        <v>326</v>
      </c>
      <c r="D70" s="706" t="s">
        <v>502</v>
      </c>
      <c r="E70" s="676">
        <v>25200</v>
      </c>
      <c r="F70" s="676"/>
      <c r="G70" s="676"/>
      <c r="H70" s="827">
        <f>+E70+F70+G70</f>
        <v>25200</v>
      </c>
      <c r="I70" s="606">
        <f t="shared" si="46"/>
        <v>22702.7027027027</v>
      </c>
      <c r="J70" s="607" t="s">
        <v>332</v>
      </c>
      <c r="K70" s="685">
        <f t="shared" si="47"/>
        <v>25200</v>
      </c>
      <c r="L70" s="605">
        <v>0</v>
      </c>
      <c r="M70" s="605">
        <f t="shared" ref="M70" si="53">+K70*0.12</f>
        <v>3024</v>
      </c>
      <c r="N70" s="605">
        <v>0</v>
      </c>
      <c r="O70" s="605">
        <f t="shared" ref="O70" si="54">+K70+M70</f>
        <v>28224</v>
      </c>
      <c r="P70" s="608" t="s">
        <v>550</v>
      </c>
      <c r="Q70" s="615" t="s">
        <v>295</v>
      </c>
      <c r="R70" s="615" t="s">
        <v>307</v>
      </c>
      <c r="S70" s="615" t="s">
        <v>306</v>
      </c>
      <c r="T70" s="608" t="s">
        <v>233</v>
      </c>
      <c r="U70" s="609">
        <f>+K70/O70</f>
        <v>0.8928571428571429</v>
      </c>
      <c r="V70" s="609">
        <v>0</v>
      </c>
      <c r="W70" s="609">
        <f>+M70/O70</f>
        <v>0.10714285714285714</v>
      </c>
      <c r="X70" s="609">
        <v>0</v>
      </c>
      <c r="Y70" s="609">
        <f>+U70+W70</f>
        <v>1</v>
      </c>
      <c r="Z70" s="770" t="s">
        <v>273</v>
      </c>
      <c r="AA70" s="610" t="s">
        <v>510</v>
      </c>
      <c r="AB70" s="610" t="s">
        <v>662</v>
      </c>
      <c r="AC70" s="610" t="s">
        <v>650</v>
      </c>
      <c r="AD70" s="813" t="s">
        <v>356</v>
      </c>
      <c r="AE70" s="632" t="s">
        <v>563</v>
      </c>
    </row>
    <row r="71" spans="1:78" ht="59.25" customHeight="1" outlineLevel="1" x14ac:dyDescent="0.2">
      <c r="A71" s="494"/>
      <c r="B71" s="824">
        <v>49</v>
      </c>
      <c r="C71" s="611" t="s">
        <v>326</v>
      </c>
      <c r="D71" s="706" t="s">
        <v>639</v>
      </c>
      <c r="E71" s="676">
        <v>1800</v>
      </c>
      <c r="F71" s="676">
        <f>5040-E71</f>
        <v>3240</v>
      </c>
      <c r="G71" s="676"/>
      <c r="H71" s="827">
        <f>+F71+E71+G71</f>
        <v>5040</v>
      </c>
      <c r="I71" s="823">
        <f>H71/1.11</f>
        <v>4540.54054054054</v>
      </c>
      <c r="J71" s="613" t="s">
        <v>332</v>
      </c>
      <c r="K71" s="688">
        <f>H71</f>
        <v>5040</v>
      </c>
      <c r="L71" s="614"/>
      <c r="M71" s="614">
        <f>K71*0.12</f>
        <v>604.79999999999995</v>
      </c>
      <c r="N71" s="614"/>
      <c r="O71" s="614">
        <f>K71+M71</f>
        <v>5644.8</v>
      </c>
      <c r="P71" s="615" t="s">
        <v>632</v>
      </c>
      <c r="Q71" s="615" t="s">
        <v>273</v>
      </c>
      <c r="R71" s="615" t="s">
        <v>273</v>
      </c>
      <c r="S71" s="615" t="s">
        <v>273</v>
      </c>
      <c r="T71" s="615" t="s">
        <v>233</v>
      </c>
      <c r="U71" s="616"/>
      <c r="V71" s="616"/>
      <c r="W71" s="616"/>
      <c r="X71" s="616"/>
      <c r="Y71" s="616"/>
      <c r="Z71" s="615" t="s">
        <v>273</v>
      </c>
      <c r="AA71" s="617" t="s">
        <v>273</v>
      </c>
      <c r="AB71" s="814" t="s">
        <v>642</v>
      </c>
      <c r="AC71" s="814" t="s">
        <v>642</v>
      </c>
      <c r="AD71" s="826" t="s">
        <v>330</v>
      </c>
      <c r="AE71" s="632"/>
    </row>
    <row r="72" spans="1:78" ht="59.25" customHeight="1" outlineLevel="1" x14ac:dyDescent="0.2">
      <c r="A72" s="494"/>
      <c r="B72" s="824">
        <v>50</v>
      </c>
      <c r="C72" s="611" t="s">
        <v>326</v>
      </c>
      <c r="D72" s="825" t="s">
        <v>688</v>
      </c>
      <c r="E72" s="676"/>
      <c r="F72" s="821">
        <v>19278.18</v>
      </c>
      <c r="G72" s="676"/>
      <c r="H72" s="827">
        <f>+F72+E72+G72</f>
        <v>19278.18</v>
      </c>
      <c r="I72" s="823">
        <f t="shared" ref="I72" si="55">+H72/1.11</f>
        <v>17367.72972972973</v>
      </c>
      <c r="J72" s="613" t="s">
        <v>332</v>
      </c>
      <c r="K72" s="688">
        <f t="shared" ref="K72" si="56">+H72</f>
        <v>19278.18</v>
      </c>
      <c r="L72" s="614"/>
      <c r="M72" s="614">
        <f t="shared" ref="M72" si="57">+K72*0.12</f>
        <v>2313.3816000000002</v>
      </c>
      <c r="N72" s="614">
        <v>0</v>
      </c>
      <c r="O72" s="614">
        <f t="shared" ref="O72" si="58">+K72+M72</f>
        <v>21591.561600000001</v>
      </c>
      <c r="P72" s="615" t="s">
        <v>550</v>
      </c>
      <c r="Q72" s="615" t="s">
        <v>295</v>
      </c>
      <c r="R72" s="615" t="s">
        <v>307</v>
      </c>
      <c r="S72" s="615" t="s">
        <v>306</v>
      </c>
      <c r="T72" s="615" t="s">
        <v>233</v>
      </c>
      <c r="U72" s="616">
        <f>+K72/O72</f>
        <v>0.89285714285714279</v>
      </c>
      <c r="V72" s="616"/>
      <c r="W72" s="616">
        <f>+M72/O72</f>
        <v>0.10714285714285715</v>
      </c>
      <c r="X72" s="616"/>
      <c r="Y72" s="616">
        <f>+U72+W72</f>
        <v>1</v>
      </c>
      <c r="Z72" s="776" t="s">
        <v>273</v>
      </c>
      <c r="AA72" s="814" t="s">
        <v>689</v>
      </c>
      <c r="AB72" s="814" t="s">
        <v>642</v>
      </c>
      <c r="AC72" s="814" t="s">
        <v>643</v>
      </c>
      <c r="AD72" s="826" t="s">
        <v>330</v>
      </c>
      <c r="AE72" s="632"/>
    </row>
    <row r="73" spans="1:78" s="820" customFormat="1" ht="59.25" customHeight="1" outlineLevel="1" x14ac:dyDescent="0.2">
      <c r="A73" s="494"/>
      <c r="B73" s="824">
        <v>51</v>
      </c>
      <c r="C73" s="611" t="s">
        <v>326</v>
      </c>
      <c r="D73" s="825" t="s">
        <v>608</v>
      </c>
      <c r="E73" s="855"/>
      <c r="F73" s="821">
        <v>37723.199999999997</v>
      </c>
      <c r="G73" s="863"/>
      <c r="H73" s="827">
        <f>+F73+E73+G73</f>
        <v>37723.199999999997</v>
      </c>
      <c r="I73" s="823">
        <f t="shared" si="46"/>
        <v>33984.86486486486</v>
      </c>
      <c r="J73" s="613" t="s">
        <v>332</v>
      </c>
      <c r="K73" s="688">
        <f t="shared" si="47"/>
        <v>37723.199999999997</v>
      </c>
      <c r="L73" s="614">
        <v>0</v>
      </c>
      <c r="M73" s="614">
        <f t="shared" ref="M73" si="59">+K73*0.12</f>
        <v>4526.7839999999997</v>
      </c>
      <c r="N73" s="614">
        <v>0</v>
      </c>
      <c r="O73" s="614">
        <f>+K73+M73</f>
        <v>42249.983999999997</v>
      </c>
      <c r="P73" s="776" t="s">
        <v>638</v>
      </c>
      <c r="Q73" s="615" t="s">
        <v>295</v>
      </c>
      <c r="R73" s="615" t="s">
        <v>307</v>
      </c>
      <c r="S73" s="776" t="s">
        <v>361</v>
      </c>
      <c r="T73" s="615" t="s">
        <v>233</v>
      </c>
      <c r="U73" s="616">
        <f>+K73/O73</f>
        <v>0.8928571428571429</v>
      </c>
      <c r="V73" s="616">
        <v>0</v>
      </c>
      <c r="W73" s="616">
        <f>+M73/O73</f>
        <v>0.10714285714285714</v>
      </c>
      <c r="X73" s="616">
        <v>0</v>
      </c>
      <c r="Y73" s="616">
        <f>+U73+W73</f>
        <v>1</v>
      </c>
      <c r="Z73" s="814" t="s">
        <v>273</v>
      </c>
      <c r="AA73" s="814" t="s">
        <v>514</v>
      </c>
      <c r="AB73" s="776" t="s">
        <v>514</v>
      </c>
      <c r="AC73" s="814" t="s">
        <v>643</v>
      </c>
      <c r="AD73" s="826" t="s">
        <v>330</v>
      </c>
      <c r="AE73" s="642"/>
      <c r="AF73" s="491"/>
      <c r="AG73" s="491"/>
      <c r="AH73" s="491"/>
      <c r="AI73" s="491"/>
      <c r="AJ73" s="491"/>
      <c r="AK73" s="491"/>
      <c r="AL73" s="491"/>
      <c r="AM73" s="491"/>
      <c r="AN73" s="491"/>
      <c r="AO73" s="491"/>
      <c r="AP73" s="491"/>
      <c r="AQ73" s="491"/>
      <c r="AR73" s="491"/>
      <c r="AS73" s="491"/>
      <c r="AT73" s="491"/>
      <c r="AU73" s="491"/>
      <c r="AV73" s="491"/>
      <c r="AW73" s="491"/>
      <c r="AX73" s="491"/>
      <c r="AY73" s="491"/>
      <c r="AZ73" s="491"/>
      <c r="BA73" s="491"/>
      <c r="BB73" s="491"/>
      <c r="BC73" s="491"/>
      <c r="BD73" s="491"/>
      <c r="BE73" s="491"/>
      <c r="BF73" s="491"/>
      <c r="BG73" s="491"/>
      <c r="BH73" s="491"/>
      <c r="BI73" s="491"/>
      <c r="BJ73" s="491"/>
      <c r="BK73" s="491"/>
      <c r="BL73" s="491"/>
      <c r="BM73" s="491"/>
      <c r="BN73" s="491"/>
      <c r="BO73" s="491"/>
      <c r="BP73" s="491"/>
      <c r="BQ73" s="491"/>
      <c r="BR73" s="491"/>
      <c r="BS73" s="491"/>
      <c r="BT73" s="491"/>
      <c r="BU73" s="491"/>
      <c r="BV73" s="491"/>
      <c r="BW73" s="491"/>
      <c r="BX73" s="491"/>
    </row>
    <row r="74" spans="1:78" s="820" customFormat="1" ht="59.25" customHeight="1" outlineLevel="1" x14ac:dyDescent="0.2">
      <c r="A74" s="494"/>
      <c r="B74" s="824">
        <v>52</v>
      </c>
      <c r="C74" s="611" t="s">
        <v>326</v>
      </c>
      <c r="D74" s="825" t="s">
        <v>622</v>
      </c>
      <c r="E74" s="676">
        <v>8000</v>
      </c>
      <c r="F74" s="676"/>
      <c r="G74" s="676"/>
      <c r="H74" s="836">
        <f>+F74+E74+G74</f>
        <v>8000</v>
      </c>
      <c r="I74" s="823">
        <f t="shared" si="46"/>
        <v>7207.2072072072069</v>
      </c>
      <c r="J74" s="613" t="s">
        <v>332</v>
      </c>
      <c r="K74" s="688">
        <f t="shared" si="47"/>
        <v>8000</v>
      </c>
      <c r="L74" s="614">
        <v>0</v>
      </c>
      <c r="M74" s="614">
        <f t="shared" ref="M74" si="60">+K74*0.12</f>
        <v>960</v>
      </c>
      <c r="N74" s="614">
        <v>0</v>
      </c>
      <c r="O74" s="614">
        <f t="shared" ref="O74" si="61">+K74+M74</f>
        <v>8960</v>
      </c>
      <c r="P74" s="776" t="s">
        <v>550</v>
      </c>
      <c r="Q74" s="615" t="s">
        <v>273</v>
      </c>
      <c r="R74" s="615" t="s">
        <v>299</v>
      </c>
      <c r="S74" s="615" t="s">
        <v>273</v>
      </c>
      <c r="T74" s="615" t="s">
        <v>241</v>
      </c>
      <c r="U74" s="616">
        <f t="shared" ref="U74:U75" si="62">+K74/O74</f>
        <v>0.8928571428571429</v>
      </c>
      <c r="V74" s="616">
        <v>0</v>
      </c>
      <c r="W74" s="616">
        <f t="shared" ref="W74:W75" si="63">+M74/O74</f>
        <v>0.10714285714285714</v>
      </c>
      <c r="X74" s="616">
        <v>0</v>
      </c>
      <c r="Y74" s="616">
        <f t="shared" ref="Y74:Y75" si="64">+U74+W74</f>
        <v>1</v>
      </c>
      <c r="Z74" s="617" t="s">
        <v>273</v>
      </c>
      <c r="AA74" s="617" t="s">
        <v>657</v>
      </c>
      <c r="AB74" s="617" t="s">
        <v>657</v>
      </c>
      <c r="AC74" s="617" t="s">
        <v>630</v>
      </c>
      <c r="AD74" s="826" t="s">
        <v>356</v>
      </c>
      <c r="AE74" s="642"/>
      <c r="AF74" s="491"/>
      <c r="AG74" s="491"/>
      <c r="AH74" s="491"/>
      <c r="AI74" s="491"/>
      <c r="AJ74" s="491"/>
      <c r="AK74" s="491"/>
      <c r="AL74" s="491"/>
      <c r="AM74" s="491"/>
      <c r="AN74" s="491"/>
      <c r="AO74" s="491"/>
      <c r="AP74" s="491"/>
      <c r="AQ74" s="491"/>
      <c r="AR74" s="491"/>
      <c r="AS74" s="491"/>
      <c r="AT74" s="491"/>
      <c r="AU74" s="491"/>
      <c r="AV74" s="491"/>
      <c r="AW74" s="491"/>
      <c r="AX74" s="491"/>
      <c r="AY74" s="491"/>
      <c r="AZ74" s="491"/>
      <c r="BA74" s="491"/>
      <c r="BB74" s="491"/>
      <c r="BC74" s="491"/>
      <c r="BD74" s="491"/>
      <c r="BE74" s="491"/>
      <c r="BF74" s="491"/>
      <c r="BG74" s="491"/>
      <c r="BH74" s="491"/>
      <c r="BI74" s="491"/>
      <c r="BJ74" s="491"/>
      <c r="BK74" s="491"/>
      <c r="BL74" s="491"/>
      <c r="BM74" s="491"/>
      <c r="BN74" s="491"/>
      <c r="BO74" s="491"/>
      <c r="BP74" s="491"/>
      <c r="BQ74" s="491"/>
      <c r="BR74" s="491"/>
      <c r="BS74" s="491"/>
      <c r="BT74" s="491"/>
      <c r="BU74" s="491"/>
      <c r="BV74" s="491"/>
      <c r="BW74" s="491"/>
      <c r="BX74" s="491"/>
    </row>
    <row r="75" spans="1:78" s="831" customFormat="1" ht="59.25" customHeight="1" outlineLevel="1" x14ac:dyDescent="0.2">
      <c r="A75" s="494"/>
      <c r="B75" s="824">
        <v>53</v>
      </c>
      <c r="C75" s="611" t="s">
        <v>326</v>
      </c>
      <c r="D75" s="825" t="s">
        <v>654</v>
      </c>
      <c r="E75" s="676"/>
      <c r="F75" s="821">
        <v>19278.18</v>
      </c>
      <c r="G75" s="863"/>
      <c r="H75" s="827">
        <f>E75+F75+G75</f>
        <v>19278.18</v>
      </c>
      <c r="I75" s="857">
        <f>H75/1.11</f>
        <v>17367.72972972973</v>
      </c>
      <c r="J75" s="707" t="s">
        <v>332</v>
      </c>
      <c r="K75" s="688">
        <f>H75</f>
        <v>19278.18</v>
      </c>
      <c r="L75" s="614"/>
      <c r="M75" s="859">
        <f>H75*0.12</f>
        <v>2313.3816000000002</v>
      </c>
      <c r="N75" s="614"/>
      <c r="O75" s="614">
        <f>K75+M75</f>
        <v>21591.561600000001</v>
      </c>
      <c r="P75" s="776" t="s">
        <v>550</v>
      </c>
      <c r="Q75" s="615" t="s">
        <v>295</v>
      </c>
      <c r="R75" s="615" t="s">
        <v>304</v>
      </c>
      <c r="S75" s="615" t="s">
        <v>306</v>
      </c>
      <c r="T75" s="615" t="s">
        <v>233</v>
      </c>
      <c r="U75" s="616">
        <f t="shared" si="62"/>
        <v>0.89285714285714279</v>
      </c>
      <c r="V75" s="616"/>
      <c r="W75" s="616">
        <f t="shared" si="63"/>
        <v>0.10714285714285715</v>
      </c>
      <c r="X75" s="616"/>
      <c r="Y75" s="616">
        <f t="shared" si="64"/>
        <v>1</v>
      </c>
      <c r="Z75" s="617" t="s">
        <v>273</v>
      </c>
      <c r="AA75" s="617" t="s">
        <v>630</v>
      </c>
      <c r="AB75" s="617" t="s">
        <v>630</v>
      </c>
      <c r="AC75" s="617" t="s">
        <v>655</v>
      </c>
      <c r="AD75" s="826" t="s">
        <v>330</v>
      </c>
      <c r="AE75" s="642"/>
      <c r="AF75" s="488"/>
      <c r="AG75" s="488"/>
      <c r="AH75" s="488"/>
      <c r="AI75" s="488"/>
      <c r="AJ75" s="488"/>
      <c r="AK75" s="488"/>
      <c r="AL75" s="488"/>
      <c r="AM75" s="488"/>
      <c r="AN75" s="488"/>
      <c r="AO75" s="488"/>
      <c r="AP75" s="488"/>
      <c r="AQ75" s="488"/>
      <c r="AR75" s="488"/>
      <c r="AS75" s="488"/>
      <c r="AT75" s="488"/>
      <c r="AU75" s="488"/>
      <c r="AV75" s="488"/>
      <c r="AW75" s="488"/>
      <c r="AX75" s="488"/>
      <c r="AY75" s="488"/>
      <c r="AZ75" s="488"/>
      <c r="BA75" s="488"/>
      <c r="BB75" s="488"/>
      <c r="BC75" s="488"/>
      <c r="BD75" s="488"/>
    </row>
    <row r="76" spans="1:78" s="831" customFormat="1" ht="42" customHeight="1" outlineLevel="1" x14ac:dyDescent="0.2">
      <c r="A76" s="494"/>
      <c r="B76" s="824">
        <v>54</v>
      </c>
      <c r="C76" s="611" t="s">
        <v>326</v>
      </c>
      <c r="D76" s="832" t="s">
        <v>528</v>
      </c>
      <c r="E76" s="676"/>
      <c r="F76" s="676">
        <v>15000</v>
      </c>
      <c r="G76" s="676"/>
      <c r="H76" s="836">
        <f>+F76+E76+G76</f>
        <v>15000</v>
      </c>
      <c r="I76" s="823">
        <f>+H76/1.11</f>
        <v>13513.513513513511</v>
      </c>
      <c r="J76" s="613" t="s">
        <v>332</v>
      </c>
      <c r="K76" s="688">
        <f>+H76</f>
        <v>15000</v>
      </c>
      <c r="L76" s="614">
        <v>0</v>
      </c>
      <c r="M76" s="614">
        <f t="shared" si="3"/>
        <v>1800</v>
      </c>
      <c r="N76" s="614">
        <v>0</v>
      </c>
      <c r="O76" s="614">
        <f t="shared" si="4"/>
        <v>16800</v>
      </c>
      <c r="P76" s="615" t="s">
        <v>273</v>
      </c>
      <c r="Q76" s="615" t="s">
        <v>273</v>
      </c>
      <c r="R76" s="615" t="s">
        <v>273</v>
      </c>
      <c r="S76" s="615" t="s">
        <v>273</v>
      </c>
      <c r="T76" s="615" t="s">
        <v>273</v>
      </c>
      <c r="U76" s="616"/>
      <c r="V76" s="616"/>
      <c r="W76" s="616"/>
      <c r="X76" s="616"/>
      <c r="Y76" s="616"/>
      <c r="Z76" s="615" t="s">
        <v>273</v>
      </c>
      <c r="AA76" s="615" t="s">
        <v>273</v>
      </c>
      <c r="AB76" s="615" t="s">
        <v>273</v>
      </c>
      <c r="AC76" s="615" t="s">
        <v>273</v>
      </c>
      <c r="AD76" s="776" t="s">
        <v>273</v>
      </c>
      <c r="AE76" s="642" t="s">
        <v>469</v>
      </c>
      <c r="AF76" s="488"/>
      <c r="AG76" s="488"/>
      <c r="AH76" s="488"/>
      <c r="AI76" s="488"/>
      <c r="AJ76" s="488"/>
      <c r="AK76" s="488"/>
      <c r="AL76" s="488"/>
      <c r="AM76" s="488"/>
      <c r="AN76" s="488"/>
      <c r="AO76" s="488"/>
      <c r="AP76" s="488"/>
      <c r="AQ76" s="488"/>
      <c r="AR76" s="488"/>
      <c r="AS76" s="488"/>
      <c r="AT76" s="488"/>
      <c r="AU76" s="488"/>
      <c r="AV76" s="488"/>
      <c r="AW76" s="488"/>
      <c r="AX76" s="488"/>
      <c r="AY76" s="488"/>
      <c r="AZ76" s="488"/>
      <c r="BA76" s="488"/>
      <c r="BB76" s="488"/>
      <c r="BC76" s="488"/>
      <c r="BD76" s="488"/>
    </row>
    <row r="77" spans="1:78" ht="23.25" customHeight="1" outlineLevel="1" x14ac:dyDescent="0.2">
      <c r="A77" s="494"/>
      <c r="B77" s="824"/>
      <c r="C77" s="637"/>
      <c r="D77" s="623" t="s">
        <v>432</v>
      </c>
      <c r="E77" s="637"/>
      <c r="F77" s="637"/>
      <c r="G77" s="637"/>
      <c r="H77" s="845">
        <f>SUM(H78:H89)</f>
        <v>198422</v>
      </c>
      <c r="I77" s="639">
        <f>SUM(I78:I89)</f>
        <v>178758.55855855855</v>
      </c>
      <c r="J77" s="638"/>
      <c r="K77" s="845">
        <f>SUM(K78:K89)</f>
        <v>198422</v>
      </c>
      <c r="L77" s="845">
        <f>SUM(L78:L89)</f>
        <v>0</v>
      </c>
      <c r="M77" s="845">
        <f>SUM(M78:M89)</f>
        <v>15781.44</v>
      </c>
      <c r="N77" s="845">
        <f>SUM(N78:N89)</f>
        <v>0</v>
      </c>
      <c r="O77" s="845">
        <f>SUM(O78:O89)</f>
        <v>214203.44</v>
      </c>
      <c r="P77" s="771"/>
      <c r="Q77" s="771"/>
      <c r="R77" s="771"/>
      <c r="S77" s="771"/>
      <c r="T77" s="771"/>
      <c r="U77" s="627"/>
      <c r="V77" s="627"/>
      <c r="W77" s="627"/>
      <c r="X77" s="627"/>
      <c r="Y77" s="627"/>
      <c r="Z77" s="771"/>
      <c r="AA77" s="771"/>
      <c r="AB77" s="771"/>
      <c r="AC77" s="771"/>
      <c r="AD77" s="815"/>
      <c r="AE77" s="712"/>
    </row>
    <row r="78" spans="1:78" ht="51" customHeight="1" outlineLevel="1" x14ac:dyDescent="0.2">
      <c r="A78" s="494"/>
      <c r="B78" s="824">
        <v>55</v>
      </c>
      <c r="C78" s="602" t="s">
        <v>326</v>
      </c>
      <c r="D78" s="632" t="s">
        <v>405</v>
      </c>
      <c r="E78" s="676">
        <v>11200</v>
      </c>
      <c r="F78" s="676"/>
      <c r="G78" s="676"/>
      <c r="H78" s="836">
        <f t="shared" ref="H78:H89" si="65">+F78+E78+G78</f>
        <v>11200</v>
      </c>
      <c r="I78" s="606">
        <f t="shared" ref="I78:I89" si="66">+H78/1.11</f>
        <v>10090.090090090089</v>
      </c>
      <c r="J78" s="608" t="s">
        <v>333</v>
      </c>
      <c r="K78" s="685">
        <f t="shared" ref="K78:K89" si="67">+H78</f>
        <v>11200</v>
      </c>
      <c r="L78" s="605">
        <v>0</v>
      </c>
      <c r="M78" s="605">
        <f t="shared" si="3"/>
        <v>1344</v>
      </c>
      <c r="N78" s="605">
        <v>0</v>
      </c>
      <c r="O78" s="605">
        <f t="shared" si="4"/>
        <v>12544</v>
      </c>
      <c r="P78" s="608" t="s">
        <v>271</v>
      </c>
      <c r="Q78" s="608" t="s">
        <v>273</v>
      </c>
      <c r="R78" s="608" t="s">
        <v>299</v>
      </c>
      <c r="S78" s="770" t="s">
        <v>273</v>
      </c>
      <c r="T78" s="608" t="s">
        <v>241</v>
      </c>
      <c r="U78" s="609">
        <f t="shared" si="11"/>
        <v>0.8928571428571429</v>
      </c>
      <c r="V78" s="609">
        <v>0</v>
      </c>
      <c r="W78" s="609">
        <f t="shared" si="51"/>
        <v>0.10714285714285714</v>
      </c>
      <c r="X78" s="609">
        <v>0</v>
      </c>
      <c r="Y78" s="609">
        <f t="shared" si="52"/>
        <v>1</v>
      </c>
      <c r="Z78" s="770" t="s">
        <v>273</v>
      </c>
      <c r="AA78" s="770" t="s">
        <v>273</v>
      </c>
      <c r="AB78" s="610" t="s">
        <v>510</v>
      </c>
      <c r="AC78" s="610" t="s">
        <v>510</v>
      </c>
      <c r="AD78" s="813" t="s">
        <v>661</v>
      </c>
      <c r="AE78" s="632" t="s">
        <v>471</v>
      </c>
    </row>
    <row r="79" spans="1:78" ht="49.5" customHeight="1" outlineLevel="1" x14ac:dyDescent="0.2">
      <c r="A79" s="494"/>
      <c r="B79" s="824">
        <v>56</v>
      </c>
      <c r="C79" s="602" t="s">
        <v>326</v>
      </c>
      <c r="D79" s="632" t="s">
        <v>498</v>
      </c>
      <c r="E79" s="676">
        <v>11000</v>
      </c>
      <c r="F79" s="676"/>
      <c r="G79" s="676"/>
      <c r="H79" s="836">
        <f t="shared" si="65"/>
        <v>11000</v>
      </c>
      <c r="I79" s="606">
        <f t="shared" si="66"/>
        <v>9909.9099099099094</v>
      </c>
      <c r="J79" s="608" t="s">
        <v>333</v>
      </c>
      <c r="K79" s="685">
        <f t="shared" si="67"/>
        <v>11000</v>
      </c>
      <c r="L79" s="605">
        <v>0</v>
      </c>
      <c r="M79" s="605">
        <f t="shared" si="3"/>
        <v>1320</v>
      </c>
      <c r="N79" s="605">
        <v>0</v>
      </c>
      <c r="O79" s="605">
        <f t="shared" si="4"/>
        <v>12320</v>
      </c>
      <c r="P79" s="608" t="s">
        <v>271</v>
      </c>
      <c r="Q79" s="608" t="s">
        <v>273</v>
      </c>
      <c r="R79" s="608" t="s">
        <v>299</v>
      </c>
      <c r="S79" s="770" t="s">
        <v>273</v>
      </c>
      <c r="T79" s="608" t="s">
        <v>241</v>
      </c>
      <c r="U79" s="609">
        <f t="shared" si="11"/>
        <v>0.8928571428571429</v>
      </c>
      <c r="V79" s="609">
        <v>0</v>
      </c>
      <c r="W79" s="609">
        <f t="shared" si="51"/>
        <v>0.10714285714285714</v>
      </c>
      <c r="X79" s="609">
        <v>0</v>
      </c>
      <c r="Y79" s="609">
        <f t="shared" si="52"/>
        <v>1</v>
      </c>
      <c r="Z79" s="770" t="s">
        <v>273</v>
      </c>
      <c r="AA79" s="770" t="s">
        <v>273</v>
      </c>
      <c r="AB79" s="610" t="s">
        <v>513</v>
      </c>
      <c r="AC79" s="610" t="s">
        <v>510</v>
      </c>
      <c r="AD79" s="813" t="s">
        <v>661</v>
      </c>
      <c r="AE79" s="632" t="s">
        <v>524</v>
      </c>
    </row>
    <row r="80" spans="1:78" ht="37.5" customHeight="1" outlineLevel="1" x14ac:dyDescent="0.2">
      <c r="A80" s="494"/>
      <c r="B80" s="824">
        <v>57</v>
      </c>
      <c r="C80" s="602" t="s">
        <v>326</v>
      </c>
      <c r="D80" s="632" t="s">
        <v>316</v>
      </c>
      <c r="E80" s="676">
        <v>6000</v>
      </c>
      <c r="F80" s="676"/>
      <c r="G80" s="676"/>
      <c r="H80" s="836">
        <f t="shared" si="65"/>
        <v>6000</v>
      </c>
      <c r="I80" s="606">
        <f t="shared" si="66"/>
        <v>5405.405405405405</v>
      </c>
      <c r="J80" s="608" t="s">
        <v>334</v>
      </c>
      <c r="K80" s="685">
        <f t="shared" si="67"/>
        <v>6000</v>
      </c>
      <c r="L80" s="605">
        <v>0</v>
      </c>
      <c r="M80" s="605">
        <f t="shared" si="3"/>
        <v>720</v>
      </c>
      <c r="N80" s="605">
        <v>0</v>
      </c>
      <c r="O80" s="605">
        <f t="shared" si="4"/>
        <v>6720</v>
      </c>
      <c r="P80" s="608" t="s">
        <v>271</v>
      </c>
      <c r="Q80" s="608" t="s">
        <v>273</v>
      </c>
      <c r="R80" s="608" t="s">
        <v>299</v>
      </c>
      <c r="S80" s="770" t="s">
        <v>273</v>
      </c>
      <c r="T80" s="608" t="s">
        <v>241</v>
      </c>
      <c r="U80" s="609">
        <f t="shared" si="11"/>
        <v>0.8928571428571429</v>
      </c>
      <c r="V80" s="609">
        <v>0</v>
      </c>
      <c r="W80" s="609">
        <f t="shared" si="51"/>
        <v>0.10714285714285714</v>
      </c>
      <c r="X80" s="609">
        <v>0</v>
      </c>
      <c r="Y80" s="609">
        <f t="shared" si="52"/>
        <v>1</v>
      </c>
      <c r="Z80" s="770" t="s">
        <v>273</v>
      </c>
      <c r="AA80" s="770" t="s">
        <v>273</v>
      </c>
      <c r="AB80" s="610" t="s">
        <v>630</v>
      </c>
      <c r="AC80" s="610" t="s">
        <v>655</v>
      </c>
      <c r="AD80" s="813" t="s">
        <v>330</v>
      </c>
      <c r="AE80" s="632" t="s">
        <v>473</v>
      </c>
    </row>
    <row r="81" spans="1:31" ht="65.25" customHeight="1" outlineLevel="1" x14ac:dyDescent="0.2">
      <c r="A81" s="494"/>
      <c r="B81" s="824">
        <v>58</v>
      </c>
      <c r="C81" s="602" t="s">
        <v>326</v>
      </c>
      <c r="D81" s="661" t="s">
        <v>501</v>
      </c>
      <c r="E81" s="677">
        <v>66910</v>
      </c>
      <c r="F81" s="677"/>
      <c r="G81" s="677"/>
      <c r="H81" s="836">
        <f t="shared" si="65"/>
        <v>66910</v>
      </c>
      <c r="I81" s="606">
        <f t="shared" si="66"/>
        <v>60279.279279279275</v>
      </c>
      <c r="J81" s="770" t="s">
        <v>479</v>
      </c>
      <c r="K81" s="685">
        <f t="shared" si="67"/>
        <v>66910</v>
      </c>
      <c r="L81" s="605">
        <v>0</v>
      </c>
      <c r="M81" s="605">
        <v>0</v>
      </c>
      <c r="N81" s="605">
        <v>0</v>
      </c>
      <c r="O81" s="605">
        <f t="shared" ref="O81" si="68">+K81+M81</f>
        <v>66910</v>
      </c>
      <c r="P81" s="770" t="s">
        <v>551</v>
      </c>
      <c r="Q81" s="770" t="s">
        <v>273</v>
      </c>
      <c r="R81" s="770" t="s">
        <v>273</v>
      </c>
      <c r="S81" s="770" t="s">
        <v>273</v>
      </c>
      <c r="T81" s="770" t="s">
        <v>241</v>
      </c>
      <c r="U81" s="609">
        <v>1</v>
      </c>
      <c r="V81" s="609">
        <v>0</v>
      </c>
      <c r="W81" s="609">
        <v>0</v>
      </c>
      <c r="X81" s="609">
        <v>0</v>
      </c>
      <c r="Y81" s="609">
        <f t="shared" ref="Y81" si="69">+U81+W81</f>
        <v>1</v>
      </c>
      <c r="Z81" s="770" t="s">
        <v>273</v>
      </c>
      <c r="AA81" s="770" t="s">
        <v>273</v>
      </c>
      <c r="AB81" s="610" t="s">
        <v>515</v>
      </c>
      <c r="AC81" s="610" t="s">
        <v>655</v>
      </c>
      <c r="AD81" s="813" t="s">
        <v>356</v>
      </c>
      <c r="AE81" s="632" t="s">
        <v>525</v>
      </c>
    </row>
    <row r="82" spans="1:31" ht="42.75" customHeight="1" outlineLevel="1" x14ac:dyDescent="0.2">
      <c r="A82" s="494"/>
      <c r="B82" s="824">
        <v>59</v>
      </c>
      <c r="C82" s="602" t="s">
        <v>326</v>
      </c>
      <c r="D82" s="632" t="s">
        <v>499</v>
      </c>
      <c r="E82" s="676">
        <v>15540</v>
      </c>
      <c r="F82" s="676"/>
      <c r="G82" s="676"/>
      <c r="H82" s="836">
        <f t="shared" si="65"/>
        <v>15540</v>
      </c>
      <c r="I82" s="606">
        <f t="shared" si="66"/>
        <v>13999.999999999998</v>
      </c>
      <c r="J82" s="608" t="s">
        <v>339</v>
      </c>
      <c r="K82" s="685">
        <f t="shared" si="67"/>
        <v>15540</v>
      </c>
      <c r="L82" s="605">
        <v>0</v>
      </c>
      <c r="M82" s="605">
        <f>+K82*0.12</f>
        <v>1864.8</v>
      </c>
      <c r="N82" s="605">
        <v>0</v>
      </c>
      <c r="O82" s="605">
        <f>+K82+M82</f>
        <v>17404.8</v>
      </c>
      <c r="P82" s="608" t="s">
        <v>551</v>
      </c>
      <c r="Q82" s="608" t="s">
        <v>273</v>
      </c>
      <c r="R82" s="608" t="s">
        <v>299</v>
      </c>
      <c r="S82" s="770" t="s">
        <v>273</v>
      </c>
      <c r="T82" s="608" t="s">
        <v>241</v>
      </c>
      <c r="U82" s="609">
        <f>+K82/O82</f>
        <v>0.8928571428571429</v>
      </c>
      <c r="V82" s="609">
        <v>0</v>
      </c>
      <c r="W82" s="609">
        <f>+M82/O82</f>
        <v>0.10714285714285715</v>
      </c>
      <c r="X82" s="609">
        <v>0</v>
      </c>
      <c r="Y82" s="609">
        <f>+U82+W82</f>
        <v>1</v>
      </c>
      <c r="Z82" s="770" t="s">
        <v>273</v>
      </c>
      <c r="AA82" s="770" t="s">
        <v>273</v>
      </c>
      <c r="AB82" s="610" t="s">
        <v>515</v>
      </c>
      <c r="AC82" s="610" t="s">
        <v>650</v>
      </c>
      <c r="AD82" s="813" t="s">
        <v>356</v>
      </c>
      <c r="AE82" s="632" t="s">
        <v>451</v>
      </c>
    </row>
    <row r="83" spans="1:31" ht="50.25" customHeight="1" outlineLevel="1" x14ac:dyDescent="0.2">
      <c r="A83" s="494"/>
      <c r="B83" s="824">
        <v>60</v>
      </c>
      <c r="C83" s="602" t="s">
        <v>326</v>
      </c>
      <c r="D83" s="632" t="s">
        <v>507</v>
      </c>
      <c r="E83" s="676">
        <v>5824</v>
      </c>
      <c r="F83" s="676"/>
      <c r="G83" s="676"/>
      <c r="H83" s="836">
        <f t="shared" si="65"/>
        <v>5824</v>
      </c>
      <c r="I83" s="606">
        <f t="shared" si="66"/>
        <v>5246.8468468468463</v>
      </c>
      <c r="J83" s="770" t="s">
        <v>337</v>
      </c>
      <c r="K83" s="685">
        <f t="shared" si="67"/>
        <v>5824</v>
      </c>
      <c r="L83" s="605">
        <v>0</v>
      </c>
      <c r="M83" s="605">
        <f t="shared" ref="M83" si="70">+K83*0.12</f>
        <v>698.88</v>
      </c>
      <c r="N83" s="605">
        <v>0</v>
      </c>
      <c r="O83" s="605">
        <f t="shared" ref="O83" si="71">+K83+M83</f>
        <v>6522.88</v>
      </c>
      <c r="P83" s="608" t="s">
        <v>551</v>
      </c>
      <c r="Q83" s="608" t="s">
        <v>273</v>
      </c>
      <c r="R83" s="608" t="s">
        <v>299</v>
      </c>
      <c r="S83" s="770" t="s">
        <v>273</v>
      </c>
      <c r="T83" s="608" t="s">
        <v>241</v>
      </c>
      <c r="U83" s="609">
        <f t="shared" ref="U83" si="72">+K83/O83</f>
        <v>0.89285714285714279</v>
      </c>
      <c r="V83" s="609">
        <v>0</v>
      </c>
      <c r="W83" s="609">
        <f t="shared" ref="W83" si="73">+M83/O83</f>
        <v>0.10714285714285714</v>
      </c>
      <c r="X83" s="609">
        <v>0</v>
      </c>
      <c r="Y83" s="609">
        <f t="shared" ref="Y83" si="74">+U83+W83</f>
        <v>0.99999999999999989</v>
      </c>
      <c r="Z83" s="770" t="s">
        <v>273</v>
      </c>
      <c r="AA83" s="770" t="s">
        <v>273</v>
      </c>
      <c r="AB83" s="610" t="s">
        <v>516</v>
      </c>
      <c r="AC83" s="610" t="s">
        <v>516</v>
      </c>
      <c r="AD83" s="813" t="s">
        <v>522</v>
      </c>
      <c r="AE83" s="632" t="s">
        <v>482</v>
      </c>
    </row>
    <row r="84" spans="1:31" ht="78" customHeight="1" outlineLevel="1" x14ac:dyDescent="0.2">
      <c r="A84" s="494"/>
      <c r="B84" s="824">
        <v>61</v>
      </c>
      <c r="C84" s="602" t="s">
        <v>326</v>
      </c>
      <c r="D84" s="632" t="s">
        <v>477</v>
      </c>
      <c r="E84" s="676">
        <v>5824</v>
      </c>
      <c r="F84" s="676"/>
      <c r="G84" s="676"/>
      <c r="H84" s="836">
        <f t="shared" si="65"/>
        <v>5824</v>
      </c>
      <c r="I84" s="606">
        <f t="shared" si="66"/>
        <v>5246.8468468468463</v>
      </c>
      <c r="J84" s="608" t="s">
        <v>337</v>
      </c>
      <c r="K84" s="685">
        <f t="shared" si="67"/>
        <v>5824</v>
      </c>
      <c r="L84" s="605">
        <v>0</v>
      </c>
      <c r="M84" s="605">
        <f t="shared" si="3"/>
        <v>698.88</v>
      </c>
      <c r="N84" s="605">
        <v>0</v>
      </c>
      <c r="O84" s="605">
        <f t="shared" si="4"/>
        <v>6522.88</v>
      </c>
      <c r="P84" s="608" t="s">
        <v>551</v>
      </c>
      <c r="Q84" s="608" t="s">
        <v>273</v>
      </c>
      <c r="R84" s="608" t="s">
        <v>299</v>
      </c>
      <c r="S84" s="770" t="s">
        <v>273</v>
      </c>
      <c r="T84" s="608" t="s">
        <v>241</v>
      </c>
      <c r="U84" s="609">
        <f t="shared" si="11"/>
        <v>0.89285714285714279</v>
      </c>
      <c r="V84" s="609">
        <v>0</v>
      </c>
      <c r="W84" s="609">
        <f t="shared" si="51"/>
        <v>0.10714285714285714</v>
      </c>
      <c r="X84" s="609">
        <v>0</v>
      </c>
      <c r="Y84" s="609">
        <f t="shared" si="52"/>
        <v>0.99999999999999989</v>
      </c>
      <c r="Z84" s="770" t="s">
        <v>273</v>
      </c>
      <c r="AA84" s="770" t="s">
        <v>273</v>
      </c>
      <c r="AB84" s="610" t="s">
        <v>515</v>
      </c>
      <c r="AC84" s="610" t="s">
        <v>515</v>
      </c>
      <c r="AD84" s="813" t="s">
        <v>522</v>
      </c>
      <c r="AE84" s="632" t="s">
        <v>482</v>
      </c>
    </row>
    <row r="85" spans="1:31" ht="96" customHeight="1" outlineLevel="1" x14ac:dyDescent="0.2">
      <c r="A85" s="494"/>
      <c r="B85" s="824">
        <v>62</v>
      </c>
      <c r="C85" s="602" t="s">
        <v>326</v>
      </c>
      <c r="D85" s="632" t="s">
        <v>321</v>
      </c>
      <c r="E85" s="676">
        <v>5824</v>
      </c>
      <c r="F85" s="676"/>
      <c r="G85" s="676"/>
      <c r="H85" s="836">
        <f t="shared" si="65"/>
        <v>5824</v>
      </c>
      <c r="I85" s="606">
        <f t="shared" si="66"/>
        <v>5246.8468468468463</v>
      </c>
      <c r="J85" s="608" t="s">
        <v>337</v>
      </c>
      <c r="K85" s="685">
        <f t="shared" si="67"/>
        <v>5824</v>
      </c>
      <c r="L85" s="605">
        <v>0</v>
      </c>
      <c r="M85" s="605">
        <f t="shared" si="3"/>
        <v>698.88</v>
      </c>
      <c r="N85" s="605">
        <v>0</v>
      </c>
      <c r="O85" s="605">
        <f t="shared" si="4"/>
        <v>6522.88</v>
      </c>
      <c r="P85" s="608" t="s">
        <v>551</v>
      </c>
      <c r="Q85" s="608" t="s">
        <v>273</v>
      </c>
      <c r="R85" s="608" t="s">
        <v>299</v>
      </c>
      <c r="S85" s="770" t="s">
        <v>273</v>
      </c>
      <c r="T85" s="608" t="s">
        <v>241</v>
      </c>
      <c r="U85" s="609">
        <f t="shared" si="11"/>
        <v>0.89285714285714279</v>
      </c>
      <c r="V85" s="609">
        <v>0</v>
      </c>
      <c r="W85" s="609">
        <f t="shared" si="51"/>
        <v>0.10714285714285714</v>
      </c>
      <c r="X85" s="609">
        <v>0</v>
      </c>
      <c r="Y85" s="609">
        <f t="shared" si="52"/>
        <v>0.99999999999999989</v>
      </c>
      <c r="Z85" s="770" t="s">
        <v>273</v>
      </c>
      <c r="AA85" s="770" t="s">
        <v>273</v>
      </c>
      <c r="AB85" s="610" t="s">
        <v>515</v>
      </c>
      <c r="AC85" s="610" t="s">
        <v>515</v>
      </c>
      <c r="AD85" s="813" t="s">
        <v>522</v>
      </c>
      <c r="AE85" s="632" t="s">
        <v>482</v>
      </c>
    </row>
    <row r="86" spans="1:31" ht="57.75" customHeight="1" outlineLevel="1" x14ac:dyDescent="0.2">
      <c r="A86" s="494"/>
      <c r="B86" s="824">
        <v>63</v>
      </c>
      <c r="C86" s="602" t="s">
        <v>326</v>
      </c>
      <c r="D86" s="663" t="s">
        <v>610</v>
      </c>
      <c r="E86" s="676">
        <v>41704</v>
      </c>
      <c r="F86" s="676"/>
      <c r="G86" s="676"/>
      <c r="H86" s="836">
        <f t="shared" si="65"/>
        <v>41704</v>
      </c>
      <c r="I86" s="606">
        <f t="shared" si="66"/>
        <v>37571.171171171169</v>
      </c>
      <c r="J86" s="770" t="s">
        <v>539</v>
      </c>
      <c r="K86" s="685">
        <f t="shared" si="67"/>
        <v>41704</v>
      </c>
      <c r="L86" s="605">
        <v>0</v>
      </c>
      <c r="M86" s="605">
        <f t="shared" si="3"/>
        <v>5004.4799999999996</v>
      </c>
      <c r="N86" s="605">
        <v>0</v>
      </c>
      <c r="O86" s="605">
        <f t="shared" si="4"/>
        <v>46708.479999999996</v>
      </c>
      <c r="P86" s="608" t="s">
        <v>551</v>
      </c>
      <c r="Q86" s="608" t="s">
        <v>295</v>
      </c>
      <c r="R86" s="608" t="s">
        <v>307</v>
      </c>
      <c r="S86" s="608" t="s">
        <v>586</v>
      </c>
      <c r="T86" s="608" t="s">
        <v>233</v>
      </c>
      <c r="U86" s="609">
        <f t="shared" si="11"/>
        <v>0.8928571428571429</v>
      </c>
      <c r="V86" s="609"/>
      <c r="W86" s="609">
        <f t="shared" si="51"/>
        <v>0.10714285714285714</v>
      </c>
      <c r="X86" s="609"/>
      <c r="Y86" s="609">
        <f t="shared" si="52"/>
        <v>1</v>
      </c>
      <c r="Z86" s="770" t="s">
        <v>273</v>
      </c>
      <c r="AA86" s="610" t="s">
        <v>630</v>
      </c>
      <c r="AB86" s="610" t="s">
        <v>652</v>
      </c>
      <c r="AC86" s="610" t="s">
        <v>655</v>
      </c>
      <c r="AD86" s="813" t="s">
        <v>330</v>
      </c>
      <c r="AE86" s="632" t="s">
        <v>564</v>
      </c>
    </row>
    <row r="87" spans="1:31" ht="52.5" customHeight="1" outlineLevel="1" x14ac:dyDescent="0.2">
      <c r="A87" s="494"/>
      <c r="B87" s="824">
        <v>64</v>
      </c>
      <c r="C87" s="602" t="s">
        <v>326</v>
      </c>
      <c r="D87" s="702" t="s">
        <v>532</v>
      </c>
      <c r="E87" s="676">
        <v>5300</v>
      </c>
      <c r="F87" s="676"/>
      <c r="G87" s="676"/>
      <c r="H87" s="836">
        <f t="shared" si="65"/>
        <v>5300</v>
      </c>
      <c r="I87" s="606">
        <f t="shared" si="66"/>
        <v>4774.7747747747744</v>
      </c>
      <c r="J87" s="608" t="s">
        <v>500</v>
      </c>
      <c r="K87" s="685">
        <f t="shared" si="67"/>
        <v>5300</v>
      </c>
      <c r="L87" s="605">
        <v>0</v>
      </c>
      <c r="M87" s="605">
        <f t="shared" si="3"/>
        <v>636</v>
      </c>
      <c r="N87" s="605">
        <v>0</v>
      </c>
      <c r="O87" s="605">
        <f t="shared" si="4"/>
        <v>5936</v>
      </c>
      <c r="P87" s="608" t="s">
        <v>551</v>
      </c>
      <c r="Q87" s="608" t="s">
        <v>273</v>
      </c>
      <c r="R87" s="608" t="s">
        <v>299</v>
      </c>
      <c r="S87" s="770" t="s">
        <v>273</v>
      </c>
      <c r="T87" s="608" t="s">
        <v>241</v>
      </c>
      <c r="U87" s="609">
        <f t="shared" ref="U87:U89" si="75">+K87/O87</f>
        <v>0.8928571428571429</v>
      </c>
      <c r="V87" s="609">
        <v>0</v>
      </c>
      <c r="W87" s="609">
        <f t="shared" ref="W87:W89" si="76">+M87/O87</f>
        <v>0.10714285714285714</v>
      </c>
      <c r="X87" s="609">
        <v>0</v>
      </c>
      <c r="Y87" s="609">
        <f t="shared" ref="Y87:Y89" si="77">+U87+W87</f>
        <v>1</v>
      </c>
      <c r="Z87" s="770" t="s">
        <v>273</v>
      </c>
      <c r="AA87" s="770" t="s">
        <v>273</v>
      </c>
      <c r="AB87" s="610" t="s">
        <v>652</v>
      </c>
      <c r="AC87" s="610" t="s">
        <v>643</v>
      </c>
      <c r="AD87" s="813" t="s">
        <v>330</v>
      </c>
      <c r="AE87" s="632" t="s">
        <v>565</v>
      </c>
    </row>
    <row r="88" spans="1:31" ht="50.25" customHeight="1" outlineLevel="1" x14ac:dyDescent="0.2">
      <c r="A88" s="494"/>
      <c r="B88" s="824">
        <v>65</v>
      </c>
      <c r="C88" s="602" t="s">
        <v>326</v>
      </c>
      <c r="D88" s="632" t="s">
        <v>601</v>
      </c>
      <c r="E88" s="676">
        <v>11648</v>
      </c>
      <c r="F88" s="676"/>
      <c r="G88" s="676"/>
      <c r="H88" s="836">
        <f t="shared" si="65"/>
        <v>11648</v>
      </c>
      <c r="I88" s="606">
        <f t="shared" si="66"/>
        <v>10493.693693693693</v>
      </c>
      <c r="J88" s="770" t="s">
        <v>539</v>
      </c>
      <c r="K88" s="685">
        <f t="shared" si="67"/>
        <v>11648</v>
      </c>
      <c r="L88" s="605">
        <v>0</v>
      </c>
      <c r="M88" s="605">
        <f t="shared" si="3"/>
        <v>1397.76</v>
      </c>
      <c r="N88" s="605">
        <v>0</v>
      </c>
      <c r="O88" s="605">
        <f t="shared" si="4"/>
        <v>13045.76</v>
      </c>
      <c r="P88" s="770" t="s">
        <v>551</v>
      </c>
      <c r="Q88" s="770" t="s">
        <v>273</v>
      </c>
      <c r="R88" s="770" t="s">
        <v>299</v>
      </c>
      <c r="S88" s="770" t="s">
        <v>273</v>
      </c>
      <c r="T88" s="770" t="s">
        <v>241</v>
      </c>
      <c r="U88" s="609">
        <f t="shared" si="75"/>
        <v>0.89285714285714279</v>
      </c>
      <c r="V88" s="609">
        <v>0</v>
      </c>
      <c r="W88" s="609">
        <f t="shared" si="76"/>
        <v>0.10714285714285714</v>
      </c>
      <c r="X88" s="609">
        <v>0</v>
      </c>
      <c r="Y88" s="609">
        <f t="shared" si="77"/>
        <v>0.99999999999999989</v>
      </c>
      <c r="Z88" s="770" t="s">
        <v>273</v>
      </c>
      <c r="AA88" s="770" t="s">
        <v>273</v>
      </c>
      <c r="AB88" s="610" t="s">
        <v>650</v>
      </c>
      <c r="AC88" s="610" t="s">
        <v>630</v>
      </c>
      <c r="AD88" s="813" t="s">
        <v>330</v>
      </c>
      <c r="AE88" s="632"/>
    </row>
    <row r="89" spans="1:31" ht="51" customHeight="1" outlineLevel="1" x14ac:dyDescent="0.2">
      <c r="A89" s="494"/>
      <c r="B89" s="824">
        <v>66</v>
      </c>
      <c r="C89" s="602" t="s">
        <v>326</v>
      </c>
      <c r="D89" s="632" t="s">
        <v>609</v>
      </c>
      <c r="E89" s="676">
        <v>11648</v>
      </c>
      <c r="F89" s="676"/>
      <c r="G89" s="676"/>
      <c r="H89" s="836">
        <f t="shared" si="65"/>
        <v>11648</v>
      </c>
      <c r="I89" s="606">
        <f t="shared" si="66"/>
        <v>10493.693693693693</v>
      </c>
      <c r="J89" s="770" t="s">
        <v>539</v>
      </c>
      <c r="K89" s="685">
        <f t="shared" si="67"/>
        <v>11648</v>
      </c>
      <c r="L89" s="605">
        <v>0</v>
      </c>
      <c r="M89" s="605">
        <f t="shared" si="3"/>
        <v>1397.76</v>
      </c>
      <c r="N89" s="605">
        <v>0</v>
      </c>
      <c r="O89" s="605">
        <f t="shared" si="4"/>
        <v>13045.76</v>
      </c>
      <c r="P89" s="770" t="s">
        <v>551</v>
      </c>
      <c r="Q89" s="770" t="s">
        <v>273</v>
      </c>
      <c r="R89" s="770" t="s">
        <v>299</v>
      </c>
      <c r="S89" s="770" t="s">
        <v>273</v>
      </c>
      <c r="T89" s="770" t="s">
        <v>241</v>
      </c>
      <c r="U89" s="609">
        <f t="shared" si="75"/>
        <v>0.89285714285714279</v>
      </c>
      <c r="V89" s="609">
        <v>0</v>
      </c>
      <c r="W89" s="609">
        <f t="shared" si="76"/>
        <v>0.10714285714285714</v>
      </c>
      <c r="X89" s="609">
        <v>0</v>
      </c>
      <c r="Y89" s="609">
        <f t="shared" si="77"/>
        <v>0.99999999999999989</v>
      </c>
      <c r="Z89" s="770" t="s">
        <v>273</v>
      </c>
      <c r="AA89" s="770" t="s">
        <v>273</v>
      </c>
      <c r="AB89" s="610" t="s">
        <v>630</v>
      </c>
      <c r="AC89" s="610" t="s">
        <v>652</v>
      </c>
      <c r="AD89" s="813" t="s">
        <v>330</v>
      </c>
      <c r="AE89" s="632"/>
    </row>
    <row r="90" spans="1:31" ht="37.5" customHeight="1" x14ac:dyDescent="0.2">
      <c r="A90" s="494"/>
      <c r="B90" s="824"/>
      <c r="C90" s="512" t="s">
        <v>328</v>
      </c>
      <c r="D90" s="518" t="s">
        <v>443</v>
      </c>
      <c r="E90" s="518"/>
      <c r="F90" s="518"/>
      <c r="G90" s="518"/>
      <c r="H90" s="698">
        <f>H91</f>
        <v>122100</v>
      </c>
      <c r="I90" s="695">
        <f>SUM(I91:I91)</f>
        <v>109999.99999999999</v>
      </c>
      <c r="J90" s="810"/>
      <c r="K90" s="687">
        <f>SUM(K91:K91)</f>
        <v>122100</v>
      </c>
      <c r="L90" s="687">
        <f>SUM(L91:L91)</f>
        <v>0</v>
      </c>
      <c r="M90" s="687">
        <f>SUM(M91:M91)</f>
        <v>14652</v>
      </c>
      <c r="N90" s="687">
        <f>SUM(N91:N91)</f>
        <v>0</v>
      </c>
      <c r="O90" s="687">
        <f>SUM(O91:O91)</f>
        <v>136752</v>
      </c>
      <c r="P90" s="514"/>
      <c r="Q90" s="514"/>
      <c r="R90" s="514"/>
      <c r="S90" s="514"/>
      <c r="T90" s="514"/>
      <c r="U90" s="573"/>
      <c r="V90" s="573"/>
      <c r="W90" s="573"/>
      <c r="X90" s="573"/>
      <c r="Y90" s="573"/>
      <c r="Z90" s="758"/>
      <c r="AA90" s="758"/>
      <c r="AB90" s="758"/>
      <c r="AC90" s="758"/>
      <c r="AD90" s="816"/>
      <c r="AE90" s="710"/>
    </row>
    <row r="91" spans="1:31" ht="65.25" customHeight="1" outlineLevel="2" x14ac:dyDescent="0.2">
      <c r="A91" s="494"/>
      <c r="B91" s="611">
        <v>67</v>
      </c>
      <c r="C91" s="603" t="s">
        <v>328</v>
      </c>
      <c r="D91" s="642" t="s">
        <v>531</v>
      </c>
      <c r="E91" s="676">
        <v>122100</v>
      </c>
      <c r="F91" s="676"/>
      <c r="G91" s="676"/>
      <c r="H91" s="836">
        <f>+F91+E91+G91</f>
        <v>122100</v>
      </c>
      <c r="I91" s="606">
        <f>+H91/1.11</f>
        <v>109999.99999999999</v>
      </c>
      <c r="J91" s="608" t="s">
        <v>539</v>
      </c>
      <c r="K91" s="685">
        <f>+H91</f>
        <v>122100</v>
      </c>
      <c r="L91" s="605">
        <v>0</v>
      </c>
      <c r="M91" s="605">
        <f>+K91*0.12</f>
        <v>14652</v>
      </c>
      <c r="N91" s="605">
        <v>0</v>
      </c>
      <c r="O91" s="605">
        <f>+K91+M91</f>
        <v>136752</v>
      </c>
      <c r="P91" s="704" t="s">
        <v>291</v>
      </c>
      <c r="Q91" s="704" t="s">
        <v>295</v>
      </c>
      <c r="R91" s="704" t="s">
        <v>617</v>
      </c>
      <c r="S91" s="704" t="s">
        <v>690</v>
      </c>
      <c r="T91" s="608" t="s">
        <v>233</v>
      </c>
      <c r="U91" s="609">
        <f>+K91/O91</f>
        <v>0.8928571428571429</v>
      </c>
      <c r="V91" s="609">
        <v>0</v>
      </c>
      <c r="W91" s="609">
        <f>+M91/O91</f>
        <v>0.10714285714285714</v>
      </c>
      <c r="X91" s="609">
        <v>0</v>
      </c>
      <c r="Y91" s="609">
        <f>+U91+W91</f>
        <v>1</v>
      </c>
      <c r="Z91" s="610" t="s">
        <v>397</v>
      </c>
      <c r="AA91" s="610" t="s">
        <v>510</v>
      </c>
      <c r="AB91" s="610" t="s">
        <v>511</v>
      </c>
      <c r="AC91" s="610" t="s">
        <v>514</v>
      </c>
      <c r="AD91" s="813" t="s">
        <v>330</v>
      </c>
      <c r="AE91" s="632" t="s">
        <v>475</v>
      </c>
    </row>
    <row r="92" spans="1:31" ht="30.75" customHeight="1" x14ac:dyDescent="0.2">
      <c r="A92" s="494"/>
      <c r="B92" s="824"/>
      <c r="C92" s="512" t="s">
        <v>329</v>
      </c>
      <c r="D92" s="518" t="s">
        <v>460</v>
      </c>
      <c r="E92" s="518"/>
      <c r="F92" s="518"/>
      <c r="G92" s="518"/>
      <c r="H92" s="694">
        <f>H93+H95+H94</f>
        <v>77700</v>
      </c>
      <c r="I92" s="695">
        <f>SUM(I93:I95)</f>
        <v>70000</v>
      </c>
      <c r="J92" s="810"/>
      <c r="K92" s="687">
        <f>SUM(K93:K95)</f>
        <v>77700</v>
      </c>
      <c r="L92" s="687">
        <f>SUM(L93:L95)</f>
        <v>0</v>
      </c>
      <c r="M92" s="687">
        <f>SUM(M93:M95)</f>
        <v>9324</v>
      </c>
      <c r="N92" s="687">
        <f>SUM(N93:N95)</f>
        <v>0</v>
      </c>
      <c r="O92" s="687">
        <f>SUM(O93:O95)</f>
        <v>87024</v>
      </c>
      <c r="P92" s="514"/>
      <c r="Q92" s="514"/>
      <c r="R92" s="514"/>
      <c r="S92" s="514"/>
      <c r="T92" s="514"/>
      <c r="U92" s="573"/>
      <c r="V92" s="573"/>
      <c r="W92" s="573"/>
      <c r="X92" s="573"/>
      <c r="Y92" s="573"/>
      <c r="Z92" s="758"/>
      <c r="AA92" s="758"/>
      <c r="AB92" s="758"/>
      <c r="AC92" s="758"/>
      <c r="AD92" s="816"/>
      <c r="AE92" s="710"/>
    </row>
    <row r="93" spans="1:31" ht="42.75" customHeight="1" outlineLevel="1" x14ac:dyDescent="0.2">
      <c r="A93" s="494"/>
      <c r="B93" s="611">
        <v>68</v>
      </c>
      <c r="C93" s="641" t="s">
        <v>329</v>
      </c>
      <c r="D93" s="642" t="s">
        <v>353</v>
      </c>
      <c r="E93" s="676">
        <v>10300</v>
      </c>
      <c r="F93" s="676"/>
      <c r="G93" s="676"/>
      <c r="H93" s="836">
        <f>+F93+E93+G93</f>
        <v>10300</v>
      </c>
      <c r="I93" s="606">
        <f>+H93/1.11</f>
        <v>9279.2792792792789</v>
      </c>
      <c r="J93" s="770" t="s">
        <v>338</v>
      </c>
      <c r="K93" s="688">
        <f>+H93</f>
        <v>10300</v>
      </c>
      <c r="L93" s="614">
        <v>0</v>
      </c>
      <c r="M93" s="614">
        <f t="shared" ref="M93:M95" si="78">+K93*0.12</f>
        <v>1236</v>
      </c>
      <c r="N93" s="614">
        <v>0</v>
      </c>
      <c r="O93" s="614">
        <f t="shared" ref="O93" si="79">+K93+M93</f>
        <v>11536</v>
      </c>
      <c r="P93" s="770" t="s">
        <v>552</v>
      </c>
      <c r="Q93" s="770" t="s">
        <v>273</v>
      </c>
      <c r="R93" s="770" t="s">
        <v>299</v>
      </c>
      <c r="S93" s="770" t="s">
        <v>306</v>
      </c>
      <c r="T93" s="643" t="s">
        <v>241</v>
      </c>
      <c r="U93" s="644">
        <f t="shared" ref="U93:U95" si="80">+K93/O93</f>
        <v>0.8928571428571429</v>
      </c>
      <c r="V93" s="644">
        <v>0</v>
      </c>
      <c r="W93" s="644">
        <f t="shared" ref="W93:W95" si="81">+M93/O93</f>
        <v>0.10714285714285714</v>
      </c>
      <c r="X93" s="644">
        <v>0</v>
      </c>
      <c r="Y93" s="644">
        <f t="shared" ref="Y93:Y95" si="82">+U93+W93</f>
        <v>1</v>
      </c>
      <c r="Z93" s="610" t="s">
        <v>397</v>
      </c>
      <c r="AA93" s="770" t="s">
        <v>273</v>
      </c>
      <c r="AB93" s="610" t="s">
        <v>513</v>
      </c>
      <c r="AC93" s="610" t="s">
        <v>517</v>
      </c>
      <c r="AD93" s="813" t="s">
        <v>522</v>
      </c>
      <c r="AE93" s="714" t="s">
        <v>566</v>
      </c>
    </row>
    <row r="94" spans="1:31" ht="42.75" customHeight="1" outlineLevel="1" x14ac:dyDescent="0.2">
      <c r="A94" s="494"/>
      <c r="B94" s="611">
        <v>69</v>
      </c>
      <c r="C94" s="641" t="s">
        <v>329</v>
      </c>
      <c r="D94" s="642" t="s">
        <v>352</v>
      </c>
      <c r="E94" s="676">
        <v>16500</v>
      </c>
      <c r="F94" s="676"/>
      <c r="G94" s="676"/>
      <c r="H94" s="836">
        <f>+F94+E94+G94</f>
        <v>16500</v>
      </c>
      <c r="I94" s="823">
        <f>H94/1.11</f>
        <v>14864.864864864863</v>
      </c>
      <c r="J94" s="615" t="s">
        <v>338</v>
      </c>
      <c r="K94" s="688">
        <v>16500</v>
      </c>
      <c r="L94" s="614">
        <v>0</v>
      </c>
      <c r="M94" s="614">
        <f>K94*0.12</f>
        <v>1980</v>
      </c>
      <c r="N94" s="614">
        <v>0</v>
      </c>
      <c r="O94" s="614">
        <f>K94+M94</f>
        <v>18480</v>
      </c>
      <c r="P94" s="615" t="s">
        <v>291</v>
      </c>
      <c r="Q94" s="615" t="s">
        <v>273</v>
      </c>
      <c r="R94" s="615" t="s">
        <v>299</v>
      </c>
      <c r="S94" s="615" t="s">
        <v>306</v>
      </c>
      <c r="T94" s="643" t="s">
        <v>241</v>
      </c>
      <c r="U94" s="644"/>
      <c r="V94" s="644"/>
      <c r="W94" s="644"/>
      <c r="X94" s="644"/>
      <c r="Y94" s="644"/>
      <c r="Z94" s="617" t="s">
        <v>397</v>
      </c>
      <c r="AA94" s="615" t="s">
        <v>273</v>
      </c>
      <c r="AB94" s="617" t="s">
        <v>657</v>
      </c>
      <c r="AC94" s="617" t="s">
        <v>630</v>
      </c>
      <c r="AD94" s="826" t="s">
        <v>356</v>
      </c>
      <c r="AE94" s="714"/>
    </row>
    <row r="95" spans="1:31" ht="42.75" customHeight="1" outlineLevel="1" x14ac:dyDescent="0.2">
      <c r="A95" s="494"/>
      <c r="B95" s="611">
        <v>70</v>
      </c>
      <c r="C95" s="641" t="s">
        <v>329</v>
      </c>
      <c r="D95" s="825" t="s">
        <v>685</v>
      </c>
      <c r="E95" s="844"/>
      <c r="F95" s="821">
        <f>67400-16500</f>
        <v>50900</v>
      </c>
      <c r="G95" s="821"/>
      <c r="H95" s="836">
        <f>+F95+E95+G95</f>
        <v>50900</v>
      </c>
      <c r="I95" s="606">
        <f>+H95/1.11</f>
        <v>45855.855855855851</v>
      </c>
      <c r="J95" s="770" t="s">
        <v>338</v>
      </c>
      <c r="K95" s="688">
        <f>+H95</f>
        <v>50900</v>
      </c>
      <c r="L95" s="614">
        <v>0</v>
      </c>
      <c r="M95" s="614">
        <f t="shared" si="78"/>
        <v>6108</v>
      </c>
      <c r="N95" s="614">
        <v>0</v>
      </c>
      <c r="O95" s="859">
        <f>K95+M95</f>
        <v>57008</v>
      </c>
      <c r="P95" s="770" t="s">
        <v>552</v>
      </c>
      <c r="Q95" s="770" t="s">
        <v>295</v>
      </c>
      <c r="R95" s="770" t="s">
        <v>506</v>
      </c>
      <c r="S95" s="770" t="s">
        <v>302</v>
      </c>
      <c r="T95" s="770" t="s">
        <v>233</v>
      </c>
      <c r="U95" s="644">
        <f t="shared" si="80"/>
        <v>0.8928571428571429</v>
      </c>
      <c r="V95" s="644">
        <v>0</v>
      </c>
      <c r="W95" s="644">
        <f t="shared" si="81"/>
        <v>0.10714285714285714</v>
      </c>
      <c r="X95" s="644">
        <v>0</v>
      </c>
      <c r="Y95" s="644">
        <f t="shared" si="82"/>
        <v>1</v>
      </c>
      <c r="Z95" s="610" t="s">
        <v>397</v>
      </c>
      <c r="AA95" s="610" t="s">
        <v>652</v>
      </c>
      <c r="AB95" s="610" t="s">
        <v>655</v>
      </c>
      <c r="AC95" s="610" t="s">
        <v>659</v>
      </c>
      <c r="AD95" s="814" t="s">
        <v>330</v>
      </c>
      <c r="AE95" s="714" t="s">
        <v>566</v>
      </c>
    </row>
    <row r="96" spans="1:31" s="589" customFormat="1" ht="45" customHeight="1" x14ac:dyDescent="0.25">
      <c r="A96" s="843"/>
      <c r="B96" s="842"/>
      <c r="C96" s="671"/>
      <c r="D96" s="672" t="s">
        <v>441</v>
      </c>
      <c r="E96" s="672"/>
      <c r="F96" s="672"/>
      <c r="G96" s="672"/>
      <c r="H96" s="678">
        <f>H92+H90+H54+H26+H18</f>
        <v>11100000</v>
      </c>
      <c r="I96" s="819">
        <f>+I25+I18</f>
        <v>10000000</v>
      </c>
      <c r="J96" s="808"/>
      <c r="K96" s="686">
        <f>+K25+K18</f>
        <v>10183848.35</v>
      </c>
      <c r="L96" s="669">
        <f>+L25+L18</f>
        <v>0</v>
      </c>
      <c r="M96" s="669">
        <f>+M25+M18</f>
        <v>859471.84199999995</v>
      </c>
      <c r="N96" s="669">
        <f>+N25+N18</f>
        <v>354560.76</v>
      </c>
      <c r="O96" s="669">
        <f>+O25+O18</f>
        <v>11397880.952</v>
      </c>
      <c r="P96" s="673"/>
      <c r="Q96" s="673"/>
      <c r="R96" s="673"/>
      <c r="S96" s="673"/>
      <c r="T96" s="673"/>
      <c r="U96" s="674"/>
      <c r="V96" s="674"/>
      <c r="W96" s="674"/>
      <c r="X96" s="674"/>
      <c r="Y96" s="674"/>
      <c r="Z96" s="775"/>
      <c r="AA96" s="775"/>
      <c r="AB96" s="775"/>
      <c r="AC96" s="775"/>
      <c r="AD96" s="817"/>
      <c r="AE96" s="715"/>
    </row>
    <row r="98" spans="2:20" x14ac:dyDescent="0.2">
      <c r="B98" s="491" t="s">
        <v>542</v>
      </c>
      <c r="H98" s="822"/>
    </row>
    <row r="99" spans="2:20" x14ac:dyDescent="0.2">
      <c r="H99" s="822"/>
      <c r="I99" s="570"/>
    </row>
    <row r="100" spans="2:20" x14ac:dyDescent="0.2">
      <c r="D100" s="491"/>
      <c r="E100" s="491"/>
      <c r="F100" s="491"/>
      <c r="G100" s="491"/>
      <c r="H100" s="491"/>
      <c r="J100" s="491"/>
      <c r="K100" s="491"/>
      <c r="Q100" s="491"/>
      <c r="R100" s="491"/>
      <c r="S100" s="491"/>
      <c r="T100" s="491"/>
    </row>
  </sheetData>
  <mergeCells count="32">
    <mergeCell ref="AE16:AE17"/>
    <mergeCell ref="B7:AD7"/>
    <mergeCell ref="B8:AD8"/>
    <mergeCell ref="I16:I17"/>
    <mergeCell ref="AD16:AD17"/>
    <mergeCell ref="B16:B17"/>
    <mergeCell ref="C16:C17"/>
    <mergeCell ref="D16:D17"/>
    <mergeCell ref="H16:H17"/>
    <mergeCell ref="J16:N16"/>
    <mergeCell ref="O16:O17"/>
    <mergeCell ref="P16:P17"/>
    <mergeCell ref="Q16:Q17"/>
    <mergeCell ref="T10:Z10"/>
    <mergeCell ref="T11:Z11"/>
    <mergeCell ref="M10:O10"/>
    <mergeCell ref="E16:E17"/>
    <mergeCell ref="F16:F17"/>
    <mergeCell ref="AA10:AD10"/>
    <mergeCell ref="AA11:AD11"/>
    <mergeCell ref="AA12:AD12"/>
    <mergeCell ref="AA13:AD13"/>
    <mergeCell ref="Z16:AC16"/>
    <mergeCell ref="AA14:AD14"/>
    <mergeCell ref="R16:R17"/>
    <mergeCell ref="S16:S17"/>
    <mergeCell ref="T16:T17"/>
    <mergeCell ref="U16:Y16"/>
    <mergeCell ref="T12:Z12"/>
    <mergeCell ref="T13:Z13"/>
    <mergeCell ref="T14:Z14"/>
    <mergeCell ref="G16:G17"/>
  </mergeCells>
  <conditionalFormatting sqref="D35:D48 D20:E24 D51:E51 D52:G53">
    <cfRule type="cellIs" dxfId="16" priority="62" operator="equal">
      <formula>0</formula>
    </cfRule>
  </conditionalFormatting>
  <conditionalFormatting sqref="D87">
    <cfRule type="cellIs" dxfId="15" priority="60" operator="equal">
      <formula>0</formula>
    </cfRule>
  </conditionalFormatting>
  <conditionalFormatting sqref="D70:D71">
    <cfRule type="cellIs" dxfId="14" priority="59" operator="equal">
      <formula>0</formula>
    </cfRule>
  </conditionalFormatting>
  <conditionalFormatting sqref="D19">
    <cfRule type="cellIs" dxfId="13" priority="56" operator="equal">
      <formula>0</formula>
    </cfRule>
  </conditionalFormatting>
  <conditionalFormatting sqref="D86">
    <cfRule type="cellIs" dxfId="12" priority="55" operator="equal">
      <formula>0</formula>
    </cfRule>
  </conditionalFormatting>
  <conditionalFormatting sqref="D49">
    <cfRule type="cellIs" dxfId="11" priority="53" operator="equal">
      <formula>0</formula>
    </cfRule>
  </conditionalFormatting>
  <conditionalFormatting sqref="D74:D75">
    <cfRule type="cellIs" dxfId="10" priority="27" operator="equal">
      <formula>0</formula>
    </cfRule>
  </conditionalFormatting>
  <conditionalFormatting sqref="D73">
    <cfRule type="cellIs" dxfId="9" priority="23" operator="equal">
      <formula>0</formula>
    </cfRule>
  </conditionalFormatting>
  <conditionalFormatting sqref="G58">
    <cfRule type="cellIs" dxfId="8" priority="15" operator="equal">
      <formula>0</formula>
    </cfRule>
  </conditionalFormatting>
  <conditionalFormatting sqref="G61">
    <cfRule type="cellIs" dxfId="7" priority="14" operator="equal">
      <formula>0</formula>
    </cfRule>
  </conditionalFormatting>
  <conditionalFormatting sqref="G73">
    <cfRule type="cellIs" dxfId="6" priority="9" operator="equal">
      <formula>0</formula>
    </cfRule>
  </conditionalFormatting>
  <conditionalFormatting sqref="G75">
    <cfRule type="cellIs" dxfId="5" priority="8" operator="equal">
      <formula>0</formula>
    </cfRule>
  </conditionalFormatting>
  <conditionalFormatting sqref="D56">
    <cfRule type="cellIs" dxfId="4" priority="7" operator="equal">
      <formula>0</formula>
    </cfRule>
  </conditionalFormatting>
  <conditionalFormatting sqref="E56">
    <cfRule type="cellIs" dxfId="3" priority="6" operator="equal">
      <formula>0</formula>
    </cfRule>
  </conditionalFormatting>
  <conditionalFormatting sqref="H56">
    <cfRule type="cellIs" dxfId="2" priority="5" operator="equal">
      <formula>0</formula>
    </cfRule>
  </conditionalFormatting>
  <conditionalFormatting sqref="G56">
    <cfRule type="cellIs" dxfId="1" priority="4" operator="equal">
      <formula>0</formula>
    </cfRule>
  </conditionalFormatting>
  <conditionalFormatting sqref="D72">
    <cfRule type="cellIs" dxfId="0" priority="2" operator="equal">
      <formula>0</formula>
    </cfRule>
  </conditionalFormatting>
  <pageMargins left="0.23622047244094491" right="0.23622047244094491" top="0.74803149606299213" bottom="0.74803149606299213" header="0.31496062992125984" footer="0.31496062992125984"/>
  <pageSetup paperSize="9" scale="33" fitToHeight="0" orientation="landscape" r:id="rId1"/>
  <headerFooter>
    <oddFooter xml:space="preserve">&amp;L
</oddFooter>
  </headerFooter>
  <ignoredErrors>
    <ignoredError sqref="I90 K90"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N9"/>
  <sheetViews>
    <sheetView workbookViewId="0">
      <selection activeCell="N9" sqref="N9"/>
    </sheetView>
  </sheetViews>
  <sheetFormatPr baseColWidth="10" defaultRowHeight="15" x14ac:dyDescent="0.25"/>
  <sheetData>
    <row r="9" spans="14:14" x14ac:dyDescent="0.25">
      <c r="N9">
        <f>3.1-1.3</f>
        <v>1.8</v>
      </c>
    </row>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2:BR28"/>
  <sheetViews>
    <sheetView topLeftCell="A13" workbookViewId="0">
      <selection activeCell="BJ21" sqref="BJ21"/>
    </sheetView>
  </sheetViews>
  <sheetFormatPr baseColWidth="10" defaultRowHeight="15" x14ac:dyDescent="0.25"/>
  <cols>
    <col min="1" max="1" width="23.28515625" customWidth="1"/>
  </cols>
  <sheetData>
    <row r="2" spans="1:70" x14ac:dyDescent="0.25">
      <c r="A2" s="757"/>
      <c r="B2" s="1000" t="s">
        <v>423</v>
      </c>
      <c r="C2" s="1000"/>
      <c r="D2" s="1000"/>
      <c r="E2" s="1000"/>
      <c r="F2" s="1000"/>
      <c r="G2" s="1000"/>
      <c r="H2" s="1000"/>
      <c r="I2" s="1000"/>
      <c r="J2" s="1000"/>
      <c r="K2" s="1000"/>
      <c r="L2" s="1000"/>
      <c r="M2" s="1000"/>
      <c r="N2" s="1000"/>
      <c r="O2" s="757"/>
      <c r="P2" s="757"/>
      <c r="Q2" s="757"/>
      <c r="R2" s="757"/>
      <c r="S2" s="757"/>
      <c r="T2" s="757"/>
      <c r="U2" s="757"/>
      <c r="V2" s="757"/>
      <c r="W2" s="757"/>
      <c r="X2" s="1000"/>
      <c r="Y2" s="1000"/>
      <c r="Z2" s="1000"/>
      <c r="AA2" s="1000"/>
      <c r="AB2" s="1000"/>
      <c r="AC2" s="1000"/>
      <c r="AD2" s="1000"/>
      <c r="AE2" s="1000"/>
      <c r="AF2" s="1000"/>
      <c r="AG2" s="1000"/>
      <c r="AH2" s="1000"/>
      <c r="AI2" s="1000"/>
      <c r="AJ2" s="1000"/>
      <c r="AK2" s="1000"/>
      <c r="AL2" s="1000"/>
      <c r="AM2" s="1000"/>
      <c r="AN2" s="1000"/>
      <c r="AO2" s="1000"/>
      <c r="AP2" s="1000"/>
      <c r="AQ2" s="757"/>
      <c r="AR2" s="757"/>
      <c r="AS2" s="757"/>
      <c r="AT2" s="757"/>
      <c r="AU2" s="757"/>
      <c r="AV2" s="757"/>
      <c r="AW2" s="757"/>
      <c r="AX2" s="757"/>
      <c r="AY2" s="757"/>
      <c r="AZ2" s="757"/>
      <c r="BA2" s="757"/>
      <c r="BB2" s="757"/>
      <c r="BC2" s="757"/>
      <c r="BD2" s="757"/>
      <c r="BE2" s="757"/>
      <c r="BF2" s="757"/>
      <c r="BG2" s="757"/>
      <c r="BH2" s="757"/>
      <c r="BI2" s="757"/>
      <c r="BJ2" s="757"/>
      <c r="BK2" s="757"/>
      <c r="BL2" s="757"/>
      <c r="BM2" s="757"/>
      <c r="BN2" s="757"/>
      <c r="BO2" s="757"/>
      <c r="BP2" s="757"/>
      <c r="BQ2" s="757"/>
      <c r="BR2" s="757"/>
    </row>
    <row r="3" spans="1:70" ht="15.75" thickBot="1" x14ac:dyDescent="0.3">
      <c r="A3" s="757"/>
      <c r="B3" s="1000"/>
      <c r="C3" s="1000"/>
      <c r="D3" s="1000"/>
      <c r="E3" s="1000"/>
      <c r="F3" s="1000"/>
      <c r="G3" s="1000"/>
      <c r="H3" s="1000"/>
      <c r="I3" s="1000"/>
      <c r="J3" s="1000"/>
      <c r="K3" s="1000"/>
      <c r="L3" s="1000"/>
      <c r="M3" s="1000"/>
      <c r="N3" s="1000"/>
      <c r="O3" s="757"/>
      <c r="P3" s="1000" t="s">
        <v>390</v>
      </c>
      <c r="Q3" s="1000"/>
      <c r="R3" s="1000"/>
      <c r="S3" s="1000"/>
      <c r="T3" s="1000"/>
      <c r="U3" s="1000"/>
      <c r="V3" s="1000"/>
      <c r="W3" s="1000"/>
      <c r="X3" s="1000"/>
      <c r="Y3" s="1000"/>
      <c r="Z3" s="1000"/>
      <c r="AA3" s="1000"/>
      <c r="AB3" s="1000"/>
      <c r="AC3" s="1000"/>
      <c r="AD3" s="1000"/>
      <c r="AE3" s="1000"/>
      <c r="AF3" s="1000"/>
      <c r="AG3" s="1000"/>
      <c r="AH3" s="1000"/>
      <c r="AI3" s="1000"/>
      <c r="AJ3" s="1000"/>
      <c r="AK3" s="1000"/>
      <c r="AL3" s="1000"/>
      <c r="AM3" s="1000"/>
      <c r="AN3" s="757"/>
      <c r="AO3" s="1000" t="s">
        <v>390</v>
      </c>
      <c r="AP3" s="1000"/>
      <c r="AQ3" s="1000"/>
      <c r="AR3" s="1000"/>
      <c r="AS3" s="1000"/>
      <c r="AT3" s="1000"/>
      <c r="AU3" s="1000"/>
      <c r="AV3" s="1000"/>
      <c r="AW3" s="1000"/>
      <c r="AX3" s="1000"/>
      <c r="AY3" s="1000"/>
      <c r="AZ3" s="1000"/>
      <c r="BA3" s="1000"/>
      <c r="BB3" s="1000"/>
      <c r="BC3" s="777"/>
      <c r="BD3" s="777"/>
      <c r="BE3" s="777"/>
      <c r="BF3" s="777"/>
      <c r="BG3" s="777"/>
      <c r="BH3" s="777"/>
      <c r="BI3" s="777"/>
      <c r="BJ3" s="777"/>
      <c r="BK3" s="777"/>
      <c r="BL3" s="777"/>
      <c r="BM3" s="757"/>
      <c r="BN3" s="757"/>
      <c r="BO3" s="757"/>
      <c r="BP3" s="757"/>
      <c r="BQ3" s="757"/>
      <c r="BR3" s="757"/>
    </row>
    <row r="4" spans="1:70" ht="27" thickBot="1" x14ac:dyDescent="0.45">
      <c r="A4" s="757"/>
      <c r="B4" s="1019">
        <v>2019</v>
      </c>
      <c r="C4" s="1020"/>
      <c r="D4" s="1020"/>
      <c r="E4" s="1020"/>
      <c r="F4" s="1020"/>
      <c r="G4" s="1020"/>
      <c r="H4" s="1020"/>
      <c r="I4" s="1020"/>
      <c r="J4" s="1020"/>
      <c r="K4" s="1020"/>
      <c r="L4" s="1020"/>
      <c r="M4" s="1020"/>
      <c r="N4" s="1020"/>
      <c r="O4" s="1021"/>
      <c r="P4" s="1001">
        <v>2020</v>
      </c>
      <c r="Q4" s="1002"/>
      <c r="R4" s="1002"/>
      <c r="S4" s="1002"/>
      <c r="T4" s="1002"/>
      <c r="U4" s="1002"/>
      <c r="V4" s="1002"/>
      <c r="W4" s="1002"/>
      <c r="X4" s="1002"/>
      <c r="Y4" s="1002"/>
      <c r="Z4" s="1002"/>
      <c r="AA4" s="1002"/>
      <c r="AB4" s="1002"/>
      <c r="AC4" s="1002"/>
      <c r="AD4" s="1002"/>
      <c r="AE4" s="1002"/>
      <c r="AF4" s="1002"/>
      <c r="AG4" s="1002"/>
      <c r="AH4" s="1002"/>
      <c r="AI4" s="1002"/>
      <c r="AJ4" s="1002"/>
      <c r="AK4" s="1002"/>
      <c r="AL4" s="1002"/>
      <c r="AM4" s="1002"/>
      <c r="AN4" s="787"/>
      <c r="AO4" s="1017">
        <v>2021</v>
      </c>
      <c r="AP4" s="1017"/>
      <c r="AQ4" s="1017"/>
      <c r="AR4" s="1017"/>
      <c r="AS4" s="1017"/>
      <c r="AT4" s="1017"/>
      <c r="AU4" s="1017"/>
      <c r="AV4" s="1017"/>
      <c r="AW4" s="1017"/>
      <c r="AX4" s="1017"/>
      <c r="AY4" s="1017"/>
      <c r="AZ4" s="1017"/>
      <c r="BA4" s="1017"/>
      <c r="BB4" s="1017"/>
      <c r="BC4" s="1017"/>
      <c r="BD4" s="1017"/>
      <c r="BE4" s="1017"/>
      <c r="BF4" s="1017"/>
      <c r="BG4" s="1017"/>
      <c r="BH4" s="1017"/>
      <c r="BI4" s="1017"/>
      <c r="BJ4" s="1017"/>
      <c r="BK4" s="1017"/>
      <c r="BL4" s="1017"/>
      <c r="BM4" s="1018"/>
      <c r="BN4" s="785"/>
      <c r="BO4" s="1014" t="s">
        <v>584</v>
      </c>
      <c r="BP4" s="1015"/>
      <c r="BQ4" s="1015"/>
      <c r="BR4" s="1016"/>
    </row>
    <row r="5" spans="1:70" x14ac:dyDescent="0.25">
      <c r="A5" s="757"/>
      <c r="B5" s="1022" t="s">
        <v>391</v>
      </c>
      <c r="C5" s="1012" t="s">
        <v>365</v>
      </c>
      <c r="D5" s="1013"/>
      <c r="E5" s="1012" t="s">
        <v>366</v>
      </c>
      <c r="F5" s="1013"/>
      <c r="G5" s="1012" t="s">
        <v>367</v>
      </c>
      <c r="H5" s="1013"/>
      <c r="I5" s="1012" t="s">
        <v>368</v>
      </c>
      <c r="J5" s="1013"/>
      <c r="K5" s="1012" t="s">
        <v>369</v>
      </c>
      <c r="L5" s="1013"/>
      <c r="M5" s="1024" t="s">
        <v>373</v>
      </c>
      <c r="N5" s="1025"/>
      <c r="O5" s="1026">
        <v>2019</v>
      </c>
      <c r="P5" s="1028" t="s">
        <v>374</v>
      </c>
      <c r="Q5" s="1004"/>
      <c r="R5" s="1008" t="s">
        <v>375</v>
      </c>
      <c r="S5" s="1004"/>
      <c r="T5" s="1008" t="s">
        <v>376</v>
      </c>
      <c r="U5" s="1004"/>
      <c r="V5" s="1008" t="s">
        <v>365</v>
      </c>
      <c r="W5" s="1004"/>
      <c r="X5" s="1008" t="s">
        <v>366</v>
      </c>
      <c r="Y5" s="1004"/>
      <c r="Z5" s="1008" t="s">
        <v>367</v>
      </c>
      <c r="AA5" s="1004"/>
      <c r="AB5" s="1008" t="s">
        <v>368</v>
      </c>
      <c r="AC5" s="1004"/>
      <c r="AD5" s="1008" t="s">
        <v>369</v>
      </c>
      <c r="AE5" s="1004"/>
      <c r="AF5" s="1008" t="s">
        <v>370</v>
      </c>
      <c r="AG5" s="1004"/>
      <c r="AH5" s="1008" t="s">
        <v>371</v>
      </c>
      <c r="AI5" s="1004"/>
      <c r="AJ5" s="1008" t="s">
        <v>372</v>
      </c>
      <c r="AK5" s="1004"/>
      <c r="AL5" s="1008" t="s">
        <v>373</v>
      </c>
      <c r="AM5" s="1004"/>
      <c r="AN5" s="1009">
        <v>2020</v>
      </c>
      <c r="AO5" s="1011" t="s">
        <v>374</v>
      </c>
      <c r="AP5" s="1004"/>
      <c r="AQ5" s="1003" t="s">
        <v>375</v>
      </c>
      <c r="AR5" s="1004"/>
      <c r="AS5" s="1003" t="s">
        <v>376</v>
      </c>
      <c r="AT5" s="1004"/>
      <c r="AU5" s="1003" t="s">
        <v>365</v>
      </c>
      <c r="AV5" s="1004"/>
      <c r="AW5" s="1003" t="s">
        <v>366</v>
      </c>
      <c r="AX5" s="1004"/>
      <c r="AY5" s="1003" t="s">
        <v>367</v>
      </c>
      <c r="AZ5" s="1004"/>
      <c r="BA5" s="1003" t="s">
        <v>368</v>
      </c>
      <c r="BB5" s="1004"/>
      <c r="BC5" s="1003" t="s">
        <v>369</v>
      </c>
      <c r="BD5" s="1004"/>
      <c r="BE5" s="1003" t="s">
        <v>370</v>
      </c>
      <c r="BF5" s="1004"/>
      <c r="BG5" s="1003" t="s">
        <v>371</v>
      </c>
      <c r="BH5" s="1004"/>
      <c r="BI5" s="1003" t="s">
        <v>372</v>
      </c>
      <c r="BJ5" s="1004"/>
      <c r="BK5" s="1005" t="s">
        <v>373</v>
      </c>
      <c r="BL5" s="1007"/>
      <c r="BM5" s="1005">
        <v>2021</v>
      </c>
      <c r="BN5" s="786"/>
      <c r="BO5" s="997">
        <v>2019</v>
      </c>
      <c r="BP5" s="998">
        <v>2020</v>
      </c>
      <c r="BQ5" s="998">
        <v>2021</v>
      </c>
      <c r="BR5" s="999" t="s">
        <v>377</v>
      </c>
    </row>
    <row r="6" spans="1:70" x14ac:dyDescent="0.25">
      <c r="A6" s="757"/>
      <c r="B6" s="1023"/>
      <c r="C6" s="759" t="s">
        <v>378</v>
      </c>
      <c r="D6" s="759" t="s">
        <v>379</v>
      </c>
      <c r="E6" s="759" t="s">
        <v>378</v>
      </c>
      <c r="F6" s="759" t="s">
        <v>379</v>
      </c>
      <c r="G6" s="759" t="s">
        <v>378</v>
      </c>
      <c r="H6" s="759" t="s">
        <v>379</v>
      </c>
      <c r="I6" s="759" t="s">
        <v>378</v>
      </c>
      <c r="J6" s="759" t="s">
        <v>379</v>
      </c>
      <c r="K6" s="759" t="s">
        <v>378</v>
      </c>
      <c r="L6" s="759" t="s">
        <v>379</v>
      </c>
      <c r="M6" s="766" t="s">
        <v>378</v>
      </c>
      <c r="N6" s="766" t="s">
        <v>379</v>
      </c>
      <c r="O6" s="1027"/>
      <c r="P6" s="791" t="s">
        <v>378</v>
      </c>
      <c r="Q6" s="767" t="s">
        <v>379</v>
      </c>
      <c r="R6" s="767" t="s">
        <v>378</v>
      </c>
      <c r="S6" s="767" t="s">
        <v>379</v>
      </c>
      <c r="T6" s="767" t="s">
        <v>378</v>
      </c>
      <c r="U6" s="767" t="s">
        <v>379</v>
      </c>
      <c r="V6" s="767" t="s">
        <v>378</v>
      </c>
      <c r="W6" s="767" t="s">
        <v>379</v>
      </c>
      <c r="X6" s="767" t="s">
        <v>378</v>
      </c>
      <c r="Y6" s="767" t="s">
        <v>379</v>
      </c>
      <c r="Z6" s="767" t="s">
        <v>378</v>
      </c>
      <c r="AA6" s="767" t="s">
        <v>379</v>
      </c>
      <c r="AB6" s="767" t="s">
        <v>378</v>
      </c>
      <c r="AC6" s="767" t="s">
        <v>379</v>
      </c>
      <c r="AD6" s="767" t="s">
        <v>378</v>
      </c>
      <c r="AE6" s="767" t="s">
        <v>379</v>
      </c>
      <c r="AF6" s="767" t="s">
        <v>378</v>
      </c>
      <c r="AG6" s="767" t="s">
        <v>379</v>
      </c>
      <c r="AH6" s="767" t="s">
        <v>378</v>
      </c>
      <c r="AI6" s="767" t="s">
        <v>379</v>
      </c>
      <c r="AJ6" s="767" t="s">
        <v>378</v>
      </c>
      <c r="AK6" s="767" t="s">
        <v>379</v>
      </c>
      <c r="AL6" s="767" t="s">
        <v>378</v>
      </c>
      <c r="AM6" s="767" t="s">
        <v>379</v>
      </c>
      <c r="AN6" s="1010"/>
      <c r="AO6" s="788" t="s">
        <v>378</v>
      </c>
      <c r="AP6" s="768" t="s">
        <v>379</v>
      </c>
      <c r="AQ6" s="768" t="s">
        <v>378</v>
      </c>
      <c r="AR6" s="768" t="s">
        <v>379</v>
      </c>
      <c r="AS6" s="768" t="s">
        <v>378</v>
      </c>
      <c r="AT6" s="768" t="s">
        <v>379</v>
      </c>
      <c r="AU6" s="768" t="s">
        <v>378</v>
      </c>
      <c r="AV6" s="768" t="s">
        <v>379</v>
      </c>
      <c r="AW6" s="768" t="s">
        <v>378</v>
      </c>
      <c r="AX6" s="768" t="s">
        <v>379</v>
      </c>
      <c r="AY6" s="768" t="s">
        <v>378</v>
      </c>
      <c r="AZ6" s="768" t="s">
        <v>379</v>
      </c>
      <c r="BA6" s="768" t="s">
        <v>378</v>
      </c>
      <c r="BB6" s="768" t="s">
        <v>379</v>
      </c>
      <c r="BC6" s="768" t="s">
        <v>378</v>
      </c>
      <c r="BD6" s="768" t="s">
        <v>379</v>
      </c>
      <c r="BE6" s="768" t="s">
        <v>378</v>
      </c>
      <c r="BF6" s="768" t="s">
        <v>379</v>
      </c>
      <c r="BG6" s="768" t="s">
        <v>378</v>
      </c>
      <c r="BH6" s="768" t="s">
        <v>379</v>
      </c>
      <c r="BI6" s="768" t="s">
        <v>378</v>
      </c>
      <c r="BJ6" s="768" t="s">
        <v>379</v>
      </c>
      <c r="BK6" s="768" t="s">
        <v>378</v>
      </c>
      <c r="BL6" s="768" t="s">
        <v>379</v>
      </c>
      <c r="BM6" s="1006"/>
      <c r="BN6" s="783"/>
      <c r="BO6" s="997"/>
      <c r="BP6" s="998"/>
      <c r="BQ6" s="998"/>
      <c r="BR6" s="999"/>
    </row>
    <row r="7" spans="1:70" x14ac:dyDescent="0.25">
      <c r="A7" s="795" t="s">
        <v>380</v>
      </c>
      <c r="B7" s="778">
        <v>80</v>
      </c>
      <c r="C7" s="760">
        <v>0</v>
      </c>
      <c r="D7" s="761">
        <v>0</v>
      </c>
      <c r="E7" s="760"/>
      <c r="F7" s="761">
        <v>0</v>
      </c>
      <c r="G7" s="760"/>
      <c r="H7" s="761">
        <v>0</v>
      </c>
      <c r="I7" s="760"/>
      <c r="J7" s="761">
        <v>0</v>
      </c>
      <c r="K7" s="760"/>
      <c r="L7" s="761">
        <v>0</v>
      </c>
      <c r="M7" s="760"/>
      <c r="N7" s="762">
        <v>0</v>
      </c>
      <c r="O7" s="793">
        <v>0</v>
      </c>
      <c r="P7" s="792">
        <v>0</v>
      </c>
      <c r="Q7" s="762">
        <v>0</v>
      </c>
      <c r="R7" s="760">
        <v>0</v>
      </c>
      <c r="S7" s="762">
        <v>0</v>
      </c>
      <c r="T7" s="760">
        <v>0</v>
      </c>
      <c r="U7" s="762">
        <v>0</v>
      </c>
      <c r="V7" s="760">
        <v>0</v>
      </c>
      <c r="W7" s="762">
        <v>0</v>
      </c>
      <c r="X7" s="760">
        <v>2</v>
      </c>
      <c r="Y7" s="762">
        <v>160</v>
      </c>
      <c r="Z7" s="760">
        <v>2</v>
      </c>
      <c r="AA7" s="762">
        <v>160</v>
      </c>
      <c r="AB7" s="760">
        <v>2</v>
      </c>
      <c r="AC7" s="762">
        <v>160</v>
      </c>
      <c r="AD7" s="760">
        <v>2</v>
      </c>
      <c r="AE7" s="762">
        <v>160</v>
      </c>
      <c r="AF7" s="760">
        <v>2</v>
      </c>
      <c r="AG7" s="762">
        <v>160</v>
      </c>
      <c r="AH7" s="760">
        <v>2</v>
      </c>
      <c r="AI7" s="762">
        <v>160</v>
      </c>
      <c r="AJ7" s="760">
        <v>2</v>
      </c>
      <c r="AK7" s="762">
        <v>160</v>
      </c>
      <c r="AL7" s="760">
        <v>2</v>
      </c>
      <c r="AM7" s="762">
        <v>160</v>
      </c>
      <c r="AN7" s="793">
        <v>1280</v>
      </c>
      <c r="AO7" s="789">
        <v>2</v>
      </c>
      <c r="AP7" s="764">
        <v>160</v>
      </c>
      <c r="AQ7" s="760">
        <v>2</v>
      </c>
      <c r="AR7" s="764">
        <v>160</v>
      </c>
      <c r="AS7" s="760">
        <v>2</v>
      </c>
      <c r="AT7" s="764">
        <v>160</v>
      </c>
      <c r="AU7" s="760">
        <v>2</v>
      </c>
      <c r="AV7" s="764">
        <v>160</v>
      </c>
      <c r="AW7" s="760">
        <v>2</v>
      </c>
      <c r="AX7" s="764">
        <v>160</v>
      </c>
      <c r="AY7" s="760">
        <v>2</v>
      </c>
      <c r="AZ7" s="764">
        <v>160</v>
      </c>
      <c r="BA7" s="760">
        <v>2</v>
      </c>
      <c r="BB7" s="764">
        <v>160</v>
      </c>
      <c r="BC7" s="760">
        <v>2</v>
      </c>
      <c r="BD7" s="764">
        <v>160</v>
      </c>
      <c r="BE7" s="760">
        <v>2</v>
      </c>
      <c r="BF7" s="764">
        <v>160</v>
      </c>
      <c r="BG7" s="760">
        <v>2</v>
      </c>
      <c r="BH7" s="764">
        <v>160</v>
      </c>
      <c r="BI7" s="760">
        <v>2</v>
      </c>
      <c r="BJ7" s="764">
        <v>160</v>
      </c>
      <c r="BK7" s="760">
        <v>2</v>
      </c>
      <c r="BL7" s="764">
        <v>160</v>
      </c>
      <c r="BM7" s="762">
        <v>1920</v>
      </c>
      <c r="BN7" s="784"/>
      <c r="BO7" s="778">
        <v>0</v>
      </c>
      <c r="BP7" s="762">
        <v>1280</v>
      </c>
      <c r="BQ7" s="762">
        <v>1920</v>
      </c>
      <c r="BR7" s="779">
        <v>3200</v>
      </c>
    </row>
    <row r="8" spans="1:70" x14ac:dyDescent="0.25">
      <c r="A8" s="796" t="s">
        <v>381</v>
      </c>
      <c r="B8" s="778">
        <v>120</v>
      </c>
      <c r="C8" s="760">
        <v>0</v>
      </c>
      <c r="D8" s="761">
        <v>0</v>
      </c>
      <c r="E8" s="760"/>
      <c r="F8" s="761">
        <v>0</v>
      </c>
      <c r="G8" s="760"/>
      <c r="H8" s="761">
        <v>0</v>
      </c>
      <c r="I8" s="760"/>
      <c r="J8" s="761">
        <v>0</v>
      </c>
      <c r="K8" s="760"/>
      <c r="L8" s="761">
        <v>0</v>
      </c>
      <c r="M8" s="760">
        <v>1</v>
      </c>
      <c r="N8" s="762">
        <v>217.6</v>
      </c>
      <c r="O8" s="793">
        <v>217.6</v>
      </c>
      <c r="P8" s="792">
        <v>0</v>
      </c>
      <c r="Q8" s="762">
        <v>0</v>
      </c>
      <c r="R8" s="760">
        <v>0</v>
      </c>
      <c r="S8" s="762">
        <v>0</v>
      </c>
      <c r="T8" s="760">
        <v>3</v>
      </c>
      <c r="U8" s="762">
        <v>360</v>
      </c>
      <c r="V8" s="760">
        <v>3</v>
      </c>
      <c r="W8" s="762">
        <v>360</v>
      </c>
      <c r="X8" s="760">
        <v>3</v>
      </c>
      <c r="Y8" s="762">
        <v>360</v>
      </c>
      <c r="Z8" s="760">
        <v>3</v>
      </c>
      <c r="AA8" s="762">
        <v>360</v>
      </c>
      <c r="AB8" s="760">
        <v>3</v>
      </c>
      <c r="AC8" s="762">
        <v>360</v>
      </c>
      <c r="AD8" s="760">
        <v>3</v>
      </c>
      <c r="AE8" s="762">
        <v>360</v>
      </c>
      <c r="AF8" s="760">
        <v>3</v>
      </c>
      <c r="AG8" s="762">
        <v>360</v>
      </c>
      <c r="AH8" s="760">
        <v>3</v>
      </c>
      <c r="AI8" s="762">
        <v>360</v>
      </c>
      <c r="AJ8" s="760">
        <v>3</v>
      </c>
      <c r="AK8" s="762">
        <v>360</v>
      </c>
      <c r="AL8" s="760">
        <v>3</v>
      </c>
      <c r="AM8" s="762">
        <v>360</v>
      </c>
      <c r="AN8" s="793">
        <v>3600</v>
      </c>
      <c r="AO8" s="789">
        <v>3</v>
      </c>
      <c r="AP8" s="764">
        <v>360</v>
      </c>
      <c r="AQ8" s="760">
        <v>2</v>
      </c>
      <c r="AR8" s="764">
        <v>240</v>
      </c>
      <c r="AS8" s="760">
        <v>1</v>
      </c>
      <c r="AT8" s="764">
        <v>120</v>
      </c>
      <c r="AU8" s="760">
        <v>1</v>
      </c>
      <c r="AV8" s="764">
        <v>120</v>
      </c>
      <c r="AW8" s="760">
        <v>3</v>
      </c>
      <c r="AX8" s="764">
        <v>360</v>
      </c>
      <c r="AY8" s="760">
        <v>3</v>
      </c>
      <c r="AZ8" s="764">
        <v>360</v>
      </c>
      <c r="BA8" s="760">
        <v>3</v>
      </c>
      <c r="BB8" s="764">
        <v>360</v>
      </c>
      <c r="BC8" s="760">
        <v>3</v>
      </c>
      <c r="BD8" s="764">
        <v>360</v>
      </c>
      <c r="BE8" s="760">
        <v>3</v>
      </c>
      <c r="BF8" s="764">
        <v>360</v>
      </c>
      <c r="BG8" s="760">
        <v>2</v>
      </c>
      <c r="BH8" s="764">
        <v>240</v>
      </c>
      <c r="BI8" s="760">
        <v>2</v>
      </c>
      <c r="BJ8" s="764">
        <v>240</v>
      </c>
      <c r="BK8" s="760">
        <v>2</v>
      </c>
      <c r="BL8" s="764">
        <v>240</v>
      </c>
      <c r="BM8" s="762">
        <v>3360</v>
      </c>
      <c r="BN8" s="784"/>
      <c r="BO8" s="778">
        <v>217.6</v>
      </c>
      <c r="BP8" s="762">
        <v>3600</v>
      </c>
      <c r="BQ8" s="762">
        <v>3360</v>
      </c>
      <c r="BR8" s="779">
        <v>7177.6</v>
      </c>
    </row>
    <row r="9" spans="1:70" ht="30" x14ac:dyDescent="0.25">
      <c r="A9" s="796" t="s">
        <v>382</v>
      </c>
      <c r="B9" s="778">
        <v>130</v>
      </c>
      <c r="C9" s="760">
        <v>0</v>
      </c>
      <c r="D9" s="761">
        <v>0</v>
      </c>
      <c r="E9" s="760"/>
      <c r="F9" s="761">
        <v>0</v>
      </c>
      <c r="G9" s="760"/>
      <c r="H9" s="761">
        <v>0</v>
      </c>
      <c r="I9" s="760"/>
      <c r="J9" s="761">
        <v>0</v>
      </c>
      <c r="K9" s="760"/>
      <c r="L9" s="761">
        <v>0</v>
      </c>
      <c r="M9" s="760">
        <v>1</v>
      </c>
      <c r="N9" s="762">
        <v>742.24</v>
      </c>
      <c r="O9" s="793">
        <v>742.24</v>
      </c>
      <c r="P9" s="792">
        <v>0</v>
      </c>
      <c r="Q9" s="762">
        <v>0</v>
      </c>
      <c r="R9" s="760">
        <v>0</v>
      </c>
      <c r="S9" s="762">
        <v>0</v>
      </c>
      <c r="T9" s="760">
        <v>5</v>
      </c>
      <c r="U9" s="762">
        <v>650</v>
      </c>
      <c r="V9" s="760">
        <v>5</v>
      </c>
      <c r="W9" s="762">
        <v>650</v>
      </c>
      <c r="X9" s="760">
        <v>5</v>
      </c>
      <c r="Y9" s="762">
        <v>650</v>
      </c>
      <c r="Z9" s="760">
        <v>5</v>
      </c>
      <c r="AA9" s="762">
        <v>650</v>
      </c>
      <c r="AB9" s="760">
        <v>5</v>
      </c>
      <c r="AC9" s="762">
        <v>650</v>
      </c>
      <c r="AD9" s="760">
        <v>5</v>
      </c>
      <c r="AE9" s="762">
        <v>650</v>
      </c>
      <c r="AF9" s="760">
        <v>6</v>
      </c>
      <c r="AG9" s="762">
        <v>780</v>
      </c>
      <c r="AH9" s="760">
        <v>6</v>
      </c>
      <c r="AI9" s="762">
        <v>780</v>
      </c>
      <c r="AJ9" s="760">
        <v>5</v>
      </c>
      <c r="AK9" s="762">
        <v>650</v>
      </c>
      <c r="AL9" s="760">
        <v>6</v>
      </c>
      <c r="AM9" s="762">
        <v>780</v>
      </c>
      <c r="AN9" s="793">
        <v>6890</v>
      </c>
      <c r="AO9" s="789">
        <v>5</v>
      </c>
      <c r="AP9" s="764">
        <v>650</v>
      </c>
      <c r="AQ9" s="760">
        <v>5</v>
      </c>
      <c r="AR9" s="764">
        <v>650</v>
      </c>
      <c r="AS9" s="760">
        <v>2</v>
      </c>
      <c r="AT9" s="764">
        <v>260</v>
      </c>
      <c r="AU9" s="760">
        <v>2</v>
      </c>
      <c r="AV9" s="764">
        <v>260</v>
      </c>
      <c r="AW9" s="760">
        <v>6</v>
      </c>
      <c r="AX9" s="764">
        <v>780</v>
      </c>
      <c r="AY9" s="760">
        <v>6</v>
      </c>
      <c r="AZ9" s="764">
        <v>780</v>
      </c>
      <c r="BA9" s="760">
        <v>5</v>
      </c>
      <c r="BB9" s="764">
        <v>650</v>
      </c>
      <c r="BC9" s="760">
        <v>5</v>
      </c>
      <c r="BD9" s="764">
        <v>650</v>
      </c>
      <c r="BE9" s="760">
        <v>5</v>
      </c>
      <c r="BF9" s="764">
        <v>650</v>
      </c>
      <c r="BG9" s="760">
        <v>4</v>
      </c>
      <c r="BH9" s="764">
        <v>520</v>
      </c>
      <c r="BI9" s="760">
        <v>4</v>
      </c>
      <c r="BJ9" s="764">
        <v>520</v>
      </c>
      <c r="BK9" s="760">
        <v>3</v>
      </c>
      <c r="BL9" s="764">
        <v>390</v>
      </c>
      <c r="BM9" s="762">
        <v>6760</v>
      </c>
      <c r="BN9" s="784"/>
      <c r="BO9" s="778">
        <v>742.24</v>
      </c>
      <c r="BP9" s="762">
        <v>6890</v>
      </c>
      <c r="BQ9" s="762">
        <v>6760</v>
      </c>
      <c r="BR9" s="779">
        <v>14392.24</v>
      </c>
    </row>
    <row r="10" spans="1:70" x14ac:dyDescent="0.25">
      <c r="A10" s="796" t="s">
        <v>383</v>
      </c>
      <c r="B10" s="778">
        <v>130</v>
      </c>
      <c r="C10" s="760">
        <v>0</v>
      </c>
      <c r="D10" s="761">
        <v>0</v>
      </c>
      <c r="E10" s="760"/>
      <c r="F10" s="761">
        <v>0</v>
      </c>
      <c r="G10" s="760"/>
      <c r="H10" s="761">
        <v>0</v>
      </c>
      <c r="I10" s="760"/>
      <c r="J10" s="761">
        <v>0</v>
      </c>
      <c r="K10" s="760"/>
      <c r="L10" s="761">
        <v>0</v>
      </c>
      <c r="M10" s="760">
        <v>1</v>
      </c>
      <c r="N10" s="762">
        <v>690.59</v>
      </c>
      <c r="O10" s="793">
        <v>690.59</v>
      </c>
      <c r="P10" s="792">
        <v>4</v>
      </c>
      <c r="Q10" s="762">
        <v>520</v>
      </c>
      <c r="R10" s="760">
        <v>2</v>
      </c>
      <c r="S10" s="762">
        <v>260</v>
      </c>
      <c r="T10" s="760">
        <v>4</v>
      </c>
      <c r="U10" s="762">
        <v>520</v>
      </c>
      <c r="V10" s="760">
        <v>5</v>
      </c>
      <c r="W10" s="762">
        <v>650</v>
      </c>
      <c r="X10" s="760">
        <v>5</v>
      </c>
      <c r="Y10" s="762">
        <v>650</v>
      </c>
      <c r="Z10" s="760">
        <v>5</v>
      </c>
      <c r="AA10" s="762">
        <v>650</v>
      </c>
      <c r="AB10" s="760">
        <v>5</v>
      </c>
      <c r="AC10" s="762">
        <v>650</v>
      </c>
      <c r="AD10" s="760">
        <v>5</v>
      </c>
      <c r="AE10" s="762">
        <v>650</v>
      </c>
      <c r="AF10" s="760">
        <v>5</v>
      </c>
      <c r="AG10" s="762">
        <v>650</v>
      </c>
      <c r="AH10" s="760">
        <v>5</v>
      </c>
      <c r="AI10" s="762">
        <v>650</v>
      </c>
      <c r="AJ10" s="760">
        <v>5</v>
      </c>
      <c r="AK10" s="762">
        <v>650</v>
      </c>
      <c r="AL10" s="760">
        <v>5</v>
      </c>
      <c r="AM10" s="762">
        <v>650</v>
      </c>
      <c r="AN10" s="793">
        <v>7150</v>
      </c>
      <c r="AO10" s="789">
        <v>4</v>
      </c>
      <c r="AP10" s="764">
        <v>520</v>
      </c>
      <c r="AQ10" s="760">
        <v>4</v>
      </c>
      <c r="AR10" s="764">
        <v>520</v>
      </c>
      <c r="AS10" s="760">
        <v>4</v>
      </c>
      <c r="AT10" s="764">
        <v>520</v>
      </c>
      <c r="AU10" s="760">
        <v>2</v>
      </c>
      <c r="AV10" s="764">
        <v>260</v>
      </c>
      <c r="AW10" s="760">
        <v>4</v>
      </c>
      <c r="AX10" s="764">
        <v>520</v>
      </c>
      <c r="AY10" s="760">
        <v>4</v>
      </c>
      <c r="AZ10" s="764">
        <v>520</v>
      </c>
      <c r="BA10" s="760">
        <v>4</v>
      </c>
      <c r="BB10" s="764">
        <v>520</v>
      </c>
      <c r="BC10" s="760">
        <v>4</v>
      </c>
      <c r="BD10" s="764">
        <v>520</v>
      </c>
      <c r="BE10" s="760">
        <v>4</v>
      </c>
      <c r="BF10" s="764">
        <v>520</v>
      </c>
      <c r="BG10" s="760">
        <v>4</v>
      </c>
      <c r="BH10" s="764">
        <v>520</v>
      </c>
      <c r="BI10" s="760">
        <v>4</v>
      </c>
      <c r="BJ10" s="764">
        <v>520</v>
      </c>
      <c r="BK10" s="760">
        <v>4</v>
      </c>
      <c r="BL10" s="764">
        <v>520</v>
      </c>
      <c r="BM10" s="762">
        <v>5980</v>
      </c>
      <c r="BN10" s="784"/>
      <c r="BO10" s="778">
        <v>690.59</v>
      </c>
      <c r="BP10" s="762">
        <v>7150</v>
      </c>
      <c r="BQ10" s="762">
        <v>5980</v>
      </c>
      <c r="BR10" s="779">
        <v>13820.59</v>
      </c>
    </row>
    <row r="11" spans="1:70" ht="30" x14ac:dyDescent="0.25">
      <c r="A11" s="796" t="s">
        <v>384</v>
      </c>
      <c r="B11" s="778">
        <v>130</v>
      </c>
      <c r="C11" s="760">
        <v>0</v>
      </c>
      <c r="D11" s="761">
        <v>0</v>
      </c>
      <c r="E11" s="760"/>
      <c r="F11" s="761">
        <v>0</v>
      </c>
      <c r="G11" s="760"/>
      <c r="H11" s="761">
        <v>0</v>
      </c>
      <c r="I11" s="760"/>
      <c r="J11" s="761">
        <v>0</v>
      </c>
      <c r="K11" s="760"/>
      <c r="L11" s="761">
        <v>0</v>
      </c>
      <c r="M11" s="760">
        <v>1</v>
      </c>
      <c r="N11" s="762">
        <v>116.6</v>
      </c>
      <c r="O11" s="793">
        <v>116.6</v>
      </c>
      <c r="P11" s="792">
        <v>0</v>
      </c>
      <c r="Q11" s="762">
        <v>0</v>
      </c>
      <c r="R11" s="760">
        <v>0</v>
      </c>
      <c r="S11" s="762">
        <v>0</v>
      </c>
      <c r="T11" s="760">
        <v>2</v>
      </c>
      <c r="U11" s="762">
        <v>260</v>
      </c>
      <c r="V11" s="760">
        <v>2</v>
      </c>
      <c r="W11" s="762">
        <v>260</v>
      </c>
      <c r="X11" s="760">
        <v>2</v>
      </c>
      <c r="Y11" s="762">
        <v>260</v>
      </c>
      <c r="Z11" s="760">
        <v>2</v>
      </c>
      <c r="AA11" s="762">
        <v>260</v>
      </c>
      <c r="AB11" s="760">
        <v>2</v>
      </c>
      <c r="AC11" s="762">
        <v>260</v>
      </c>
      <c r="AD11" s="760">
        <v>2</v>
      </c>
      <c r="AE11" s="762">
        <v>260</v>
      </c>
      <c r="AF11" s="760">
        <v>2</v>
      </c>
      <c r="AG11" s="762">
        <v>260</v>
      </c>
      <c r="AH11" s="760">
        <v>2</v>
      </c>
      <c r="AI11" s="762">
        <v>260</v>
      </c>
      <c r="AJ11" s="760">
        <v>2</v>
      </c>
      <c r="AK11" s="762">
        <v>260</v>
      </c>
      <c r="AL11" s="760">
        <v>2</v>
      </c>
      <c r="AM11" s="762">
        <v>260</v>
      </c>
      <c r="AN11" s="793">
        <v>2600</v>
      </c>
      <c r="AO11" s="789">
        <v>2</v>
      </c>
      <c r="AP11" s="764">
        <v>260</v>
      </c>
      <c r="AQ11" s="760">
        <v>2</v>
      </c>
      <c r="AR11" s="764">
        <v>260</v>
      </c>
      <c r="AS11" s="760">
        <v>1</v>
      </c>
      <c r="AT11" s="764">
        <v>130</v>
      </c>
      <c r="AU11" s="760">
        <v>1</v>
      </c>
      <c r="AV11" s="764">
        <v>130</v>
      </c>
      <c r="AW11" s="760">
        <v>2</v>
      </c>
      <c r="AX11" s="764">
        <v>260</v>
      </c>
      <c r="AY11" s="760">
        <v>2</v>
      </c>
      <c r="AZ11" s="764">
        <v>260</v>
      </c>
      <c r="BA11" s="760">
        <v>2</v>
      </c>
      <c r="BB11" s="764">
        <v>260</v>
      </c>
      <c r="BC11" s="760">
        <v>2</v>
      </c>
      <c r="BD11" s="764">
        <v>260</v>
      </c>
      <c r="BE11" s="760">
        <v>2</v>
      </c>
      <c r="BF11" s="764">
        <v>260</v>
      </c>
      <c r="BG11" s="760">
        <v>2</v>
      </c>
      <c r="BH11" s="764">
        <v>260</v>
      </c>
      <c r="BI11" s="760">
        <v>2</v>
      </c>
      <c r="BJ11" s="764">
        <v>260</v>
      </c>
      <c r="BK11" s="760">
        <v>2</v>
      </c>
      <c r="BL11" s="764">
        <v>260</v>
      </c>
      <c r="BM11" s="762">
        <v>2860</v>
      </c>
      <c r="BN11" s="784"/>
      <c r="BO11" s="778">
        <v>116.6</v>
      </c>
      <c r="BP11" s="762">
        <v>2600</v>
      </c>
      <c r="BQ11" s="762">
        <v>2860</v>
      </c>
      <c r="BR11" s="779">
        <v>5576.6</v>
      </c>
    </row>
    <row r="12" spans="1:70" ht="30" x14ac:dyDescent="0.25">
      <c r="A12" s="796" t="s">
        <v>574</v>
      </c>
      <c r="B12" s="778">
        <v>130</v>
      </c>
      <c r="C12" s="760">
        <v>0</v>
      </c>
      <c r="D12" s="761">
        <v>0</v>
      </c>
      <c r="E12" s="760"/>
      <c r="F12" s="761">
        <v>0</v>
      </c>
      <c r="G12" s="760"/>
      <c r="H12" s="761">
        <v>0</v>
      </c>
      <c r="I12" s="760"/>
      <c r="J12" s="761">
        <v>0</v>
      </c>
      <c r="K12" s="760"/>
      <c r="L12" s="761">
        <v>0</v>
      </c>
      <c r="M12" s="760"/>
      <c r="N12" s="762">
        <v>0</v>
      </c>
      <c r="O12" s="793">
        <v>0</v>
      </c>
      <c r="P12" s="792">
        <v>0</v>
      </c>
      <c r="Q12" s="762">
        <v>0</v>
      </c>
      <c r="R12" s="760">
        <v>0</v>
      </c>
      <c r="S12" s="762">
        <v>0</v>
      </c>
      <c r="T12" s="760">
        <v>0</v>
      </c>
      <c r="U12" s="762">
        <v>0</v>
      </c>
      <c r="V12" s="760">
        <v>1</v>
      </c>
      <c r="W12" s="762">
        <v>130</v>
      </c>
      <c r="X12" s="760">
        <v>1</v>
      </c>
      <c r="Y12" s="762">
        <v>130</v>
      </c>
      <c r="Z12" s="760">
        <v>1</v>
      </c>
      <c r="AA12" s="762">
        <v>130</v>
      </c>
      <c r="AB12" s="760">
        <v>1</v>
      </c>
      <c r="AC12" s="762">
        <v>130</v>
      </c>
      <c r="AD12" s="760">
        <v>1</v>
      </c>
      <c r="AE12" s="762">
        <v>130</v>
      </c>
      <c r="AF12" s="760">
        <v>1</v>
      </c>
      <c r="AG12" s="762">
        <v>130</v>
      </c>
      <c r="AH12" s="760">
        <v>1</v>
      </c>
      <c r="AI12" s="762">
        <v>130</v>
      </c>
      <c r="AJ12" s="760">
        <v>1</v>
      </c>
      <c r="AK12" s="762">
        <v>130</v>
      </c>
      <c r="AL12" s="760">
        <v>1</v>
      </c>
      <c r="AM12" s="762">
        <v>130</v>
      </c>
      <c r="AN12" s="793">
        <v>1170</v>
      </c>
      <c r="AO12" s="789">
        <v>1</v>
      </c>
      <c r="AP12" s="764">
        <v>130</v>
      </c>
      <c r="AQ12" s="760">
        <v>1</v>
      </c>
      <c r="AR12" s="764">
        <v>130</v>
      </c>
      <c r="AS12" s="760">
        <v>1</v>
      </c>
      <c r="AT12" s="764">
        <v>130</v>
      </c>
      <c r="AU12" s="760">
        <v>1</v>
      </c>
      <c r="AV12" s="764">
        <v>130</v>
      </c>
      <c r="AW12" s="760">
        <v>1</v>
      </c>
      <c r="AX12" s="764">
        <v>130</v>
      </c>
      <c r="AY12" s="760">
        <v>1</v>
      </c>
      <c r="AZ12" s="764">
        <v>130</v>
      </c>
      <c r="BA12" s="760">
        <v>1</v>
      </c>
      <c r="BB12" s="764">
        <v>130</v>
      </c>
      <c r="BC12" s="760">
        <v>1</v>
      </c>
      <c r="BD12" s="764">
        <v>130</v>
      </c>
      <c r="BE12" s="760">
        <v>1</v>
      </c>
      <c r="BF12" s="764">
        <v>130</v>
      </c>
      <c r="BG12" s="760">
        <v>1</v>
      </c>
      <c r="BH12" s="764">
        <v>130</v>
      </c>
      <c r="BI12" s="760">
        <v>1</v>
      </c>
      <c r="BJ12" s="764">
        <v>130</v>
      </c>
      <c r="BK12" s="760">
        <v>1</v>
      </c>
      <c r="BL12" s="764">
        <v>130</v>
      </c>
      <c r="BM12" s="762">
        <v>1560</v>
      </c>
      <c r="BN12" s="784"/>
      <c r="BO12" s="778">
        <v>0</v>
      </c>
      <c r="BP12" s="762">
        <v>1170</v>
      </c>
      <c r="BQ12" s="762">
        <v>1560</v>
      </c>
      <c r="BR12" s="779">
        <v>2730</v>
      </c>
    </row>
    <row r="13" spans="1:70" x14ac:dyDescent="0.25">
      <c r="A13" s="796" t="s">
        <v>386</v>
      </c>
      <c r="B13" s="778">
        <v>80</v>
      </c>
      <c r="C13" s="760">
        <v>0</v>
      </c>
      <c r="D13" s="761">
        <v>0</v>
      </c>
      <c r="E13" s="760"/>
      <c r="F13" s="761">
        <v>0</v>
      </c>
      <c r="G13" s="760"/>
      <c r="H13" s="761">
        <v>0</v>
      </c>
      <c r="I13" s="760"/>
      <c r="J13" s="761">
        <v>0</v>
      </c>
      <c r="K13" s="760"/>
      <c r="L13" s="761">
        <v>0</v>
      </c>
      <c r="M13" s="760"/>
      <c r="N13" s="762">
        <v>0</v>
      </c>
      <c r="O13" s="793">
        <v>0</v>
      </c>
      <c r="P13" s="792">
        <v>0</v>
      </c>
      <c r="Q13" s="762">
        <v>0</v>
      </c>
      <c r="R13" s="760">
        <v>0</v>
      </c>
      <c r="S13" s="762">
        <v>0</v>
      </c>
      <c r="T13" s="760">
        <v>3</v>
      </c>
      <c r="U13" s="762">
        <v>240</v>
      </c>
      <c r="V13" s="760">
        <v>3</v>
      </c>
      <c r="W13" s="762">
        <v>240</v>
      </c>
      <c r="X13" s="760">
        <v>3</v>
      </c>
      <c r="Y13" s="762">
        <v>240</v>
      </c>
      <c r="Z13" s="760">
        <v>3</v>
      </c>
      <c r="AA13" s="762">
        <v>240</v>
      </c>
      <c r="AB13" s="760">
        <v>3</v>
      </c>
      <c r="AC13" s="762">
        <v>240</v>
      </c>
      <c r="AD13" s="760">
        <v>3</v>
      </c>
      <c r="AE13" s="762">
        <v>240</v>
      </c>
      <c r="AF13" s="760">
        <v>3</v>
      </c>
      <c r="AG13" s="762">
        <v>240</v>
      </c>
      <c r="AH13" s="760">
        <v>3</v>
      </c>
      <c r="AI13" s="762">
        <v>240</v>
      </c>
      <c r="AJ13" s="760">
        <v>3</v>
      </c>
      <c r="AK13" s="762">
        <v>240</v>
      </c>
      <c r="AL13" s="760">
        <v>2</v>
      </c>
      <c r="AM13" s="762">
        <v>160</v>
      </c>
      <c r="AN13" s="793">
        <v>2320</v>
      </c>
      <c r="AO13" s="789">
        <v>5</v>
      </c>
      <c r="AP13" s="764">
        <v>400</v>
      </c>
      <c r="AQ13" s="760">
        <v>5</v>
      </c>
      <c r="AR13" s="764">
        <v>400</v>
      </c>
      <c r="AS13" s="760">
        <v>1</v>
      </c>
      <c r="AT13" s="764">
        <v>80</v>
      </c>
      <c r="AU13" s="760">
        <v>1</v>
      </c>
      <c r="AV13" s="764">
        <v>80</v>
      </c>
      <c r="AW13" s="760">
        <v>4</v>
      </c>
      <c r="AX13" s="764">
        <v>320</v>
      </c>
      <c r="AY13" s="760">
        <v>4</v>
      </c>
      <c r="AZ13" s="764">
        <v>320</v>
      </c>
      <c r="BA13" s="760">
        <v>4</v>
      </c>
      <c r="BB13" s="764">
        <v>320</v>
      </c>
      <c r="BC13" s="760">
        <v>4</v>
      </c>
      <c r="BD13" s="764">
        <v>320</v>
      </c>
      <c r="BE13" s="760">
        <v>4</v>
      </c>
      <c r="BF13" s="764">
        <v>320</v>
      </c>
      <c r="BG13" s="760">
        <v>4</v>
      </c>
      <c r="BH13" s="764">
        <v>320</v>
      </c>
      <c r="BI13" s="760">
        <v>4</v>
      </c>
      <c r="BJ13" s="764">
        <v>320</v>
      </c>
      <c r="BK13" s="760">
        <v>4</v>
      </c>
      <c r="BL13" s="764">
        <v>320</v>
      </c>
      <c r="BM13" s="762">
        <v>3520</v>
      </c>
      <c r="BN13" s="784"/>
      <c r="BO13" s="778">
        <v>0</v>
      </c>
      <c r="BP13" s="762">
        <v>2320</v>
      </c>
      <c r="BQ13" s="762">
        <v>3520</v>
      </c>
      <c r="BR13" s="779">
        <v>5840</v>
      </c>
    </row>
    <row r="14" spans="1:70" ht="30" x14ac:dyDescent="0.25">
      <c r="A14" s="796" t="s">
        <v>388</v>
      </c>
      <c r="B14" s="778">
        <v>80</v>
      </c>
      <c r="C14" s="760">
        <v>0</v>
      </c>
      <c r="D14" s="761">
        <v>0</v>
      </c>
      <c r="E14" s="760"/>
      <c r="F14" s="761">
        <v>0</v>
      </c>
      <c r="G14" s="760"/>
      <c r="H14" s="761">
        <v>0</v>
      </c>
      <c r="I14" s="760"/>
      <c r="J14" s="761">
        <v>0</v>
      </c>
      <c r="K14" s="760"/>
      <c r="L14" s="761">
        <v>0</v>
      </c>
      <c r="M14" s="760"/>
      <c r="N14" s="762">
        <v>0</v>
      </c>
      <c r="O14" s="793">
        <v>0</v>
      </c>
      <c r="P14" s="792">
        <v>0</v>
      </c>
      <c r="Q14" s="762">
        <v>0</v>
      </c>
      <c r="R14" s="760">
        <v>0</v>
      </c>
      <c r="S14" s="762">
        <v>0</v>
      </c>
      <c r="T14" s="760">
        <v>0</v>
      </c>
      <c r="U14" s="762">
        <v>0</v>
      </c>
      <c r="V14" s="760">
        <v>0</v>
      </c>
      <c r="W14" s="762">
        <v>0</v>
      </c>
      <c r="X14" s="760">
        <v>0</v>
      </c>
      <c r="Y14" s="762">
        <v>0</v>
      </c>
      <c r="Z14" s="760">
        <v>0</v>
      </c>
      <c r="AA14" s="762">
        <v>0</v>
      </c>
      <c r="AB14" s="760">
        <v>0</v>
      </c>
      <c r="AC14" s="762">
        <v>0</v>
      </c>
      <c r="AD14" s="760">
        <v>0</v>
      </c>
      <c r="AE14" s="762">
        <v>0</v>
      </c>
      <c r="AF14" s="760">
        <v>0</v>
      </c>
      <c r="AG14" s="762">
        <v>0</v>
      </c>
      <c r="AH14" s="760">
        <v>0</v>
      </c>
      <c r="AI14" s="762">
        <v>0</v>
      </c>
      <c r="AJ14" s="760">
        <v>0</v>
      </c>
      <c r="AK14" s="762">
        <v>0</v>
      </c>
      <c r="AL14" s="760">
        <v>0</v>
      </c>
      <c r="AM14" s="762">
        <v>0</v>
      </c>
      <c r="AN14" s="793">
        <v>0</v>
      </c>
      <c r="AO14" s="789">
        <v>6</v>
      </c>
      <c r="AP14" s="764">
        <v>480</v>
      </c>
      <c r="AQ14" s="760">
        <v>6</v>
      </c>
      <c r="AR14" s="764">
        <v>480</v>
      </c>
      <c r="AS14" s="760">
        <v>6</v>
      </c>
      <c r="AT14" s="764">
        <v>480</v>
      </c>
      <c r="AU14" s="760">
        <v>6</v>
      </c>
      <c r="AV14" s="764">
        <v>480</v>
      </c>
      <c r="AW14" s="760">
        <v>6</v>
      </c>
      <c r="AX14" s="764">
        <v>480</v>
      </c>
      <c r="AY14" s="760">
        <v>6</v>
      </c>
      <c r="AZ14" s="764">
        <v>480</v>
      </c>
      <c r="BA14" s="760">
        <v>6</v>
      </c>
      <c r="BB14" s="764">
        <v>480</v>
      </c>
      <c r="BC14" s="760">
        <v>6</v>
      </c>
      <c r="BD14" s="764">
        <v>480</v>
      </c>
      <c r="BE14" s="760">
        <v>6</v>
      </c>
      <c r="BF14" s="764">
        <v>480</v>
      </c>
      <c r="BG14" s="760">
        <v>6</v>
      </c>
      <c r="BH14" s="764">
        <v>480</v>
      </c>
      <c r="BI14" s="760">
        <v>6</v>
      </c>
      <c r="BJ14" s="764">
        <v>480</v>
      </c>
      <c r="BK14" s="760">
        <v>6</v>
      </c>
      <c r="BL14" s="764">
        <v>480</v>
      </c>
      <c r="BM14" s="762">
        <v>5760</v>
      </c>
      <c r="BN14" s="784"/>
      <c r="BO14" s="778">
        <v>0</v>
      </c>
      <c r="BP14" s="762">
        <v>0</v>
      </c>
      <c r="BQ14" s="762">
        <v>5760</v>
      </c>
      <c r="BR14" s="779">
        <v>5760</v>
      </c>
    </row>
    <row r="15" spans="1:70" ht="30" x14ac:dyDescent="0.25">
      <c r="A15" s="796" t="s">
        <v>575</v>
      </c>
      <c r="B15" s="778">
        <v>80</v>
      </c>
      <c r="C15" s="760">
        <v>0</v>
      </c>
      <c r="D15" s="761">
        <v>0</v>
      </c>
      <c r="E15" s="760"/>
      <c r="F15" s="761">
        <v>0</v>
      </c>
      <c r="G15" s="760"/>
      <c r="H15" s="761">
        <v>0</v>
      </c>
      <c r="I15" s="760"/>
      <c r="J15" s="761">
        <v>0</v>
      </c>
      <c r="K15" s="760"/>
      <c r="L15" s="761">
        <v>0</v>
      </c>
      <c r="M15" s="760"/>
      <c r="N15" s="762">
        <v>0</v>
      </c>
      <c r="O15" s="793">
        <v>0</v>
      </c>
      <c r="P15" s="792">
        <v>0</v>
      </c>
      <c r="Q15" s="762">
        <v>0</v>
      </c>
      <c r="R15" s="760">
        <v>0</v>
      </c>
      <c r="S15" s="762">
        <v>0</v>
      </c>
      <c r="T15" s="760">
        <v>0</v>
      </c>
      <c r="U15" s="762">
        <v>0</v>
      </c>
      <c r="V15" s="760">
        <v>0</v>
      </c>
      <c r="W15" s="762">
        <v>0</v>
      </c>
      <c r="X15" s="760">
        <v>1</v>
      </c>
      <c r="Y15" s="762">
        <v>80</v>
      </c>
      <c r="Z15" s="760"/>
      <c r="AA15" s="762">
        <v>0</v>
      </c>
      <c r="AB15" s="760"/>
      <c r="AC15" s="762">
        <v>0</v>
      </c>
      <c r="AD15" s="760"/>
      <c r="AE15" s="762">
        <v>0</v>
      </c>
      <c r="AF15" s="760">
        <v>1</v>
      </c>
      <c r="AG15" s="762">
        <v>80</v>
      </c>
      <c r="AH15" s="760">
        <v>1</v>
      </c>
      <c r="AI15" s="762">
        <v>80</v>
      </c>
      <c r="AJ15" s="760">
        <v>1</v>
      </c>
      <c r="AK15" s="762">
        <v>80</v>
      </c>
      <c r="AL15" s="760"/>
      <c r="AM15" s="762">
        <v>0</v>
      </c>
      <c r="AN15" s="793">
        <v>320</v>
      </c>
      <c r="AO15" s="789">
        <v>0</v>
      </c>
      <c r="AP15" s="764">
        <v>0</v>
      </c>
      <c r="AQ15" s="760">
        <v>2</v>
      </c>
      <c r="AR15" s="764">
        <v>160</v>
      </c>
      <c r="AS15" s="760">
        <v>0</v>
      </c>
      <c r="AT15" s="764">
        <v>0</v>
      </c>
      <c r="AU15" s="760">
        <v>0</v>
      </c>
      <c r="AV15" s="764">
        <v>0</v>
      </c>
      <c r="AW15" s="760">
        <v>0</v>
      </c>
      <c r="AX15" s="764">
        <v>0</v>
      </c>
      <c r="AY15" s="760">
        <v>2</v>
      </c>
      <c r="AZ15" s="764">
        <v>160</v>
      </c>
      <c r="BA15" s="760"/>
      <c r="BB15" s="764">
        <v>0</v>
      </c>
      <c r="BC15" s="760">
        <v>0</v>
      </c>
      <c r="BD15" s="764">
        <v>0</v>
      </c>
      <c r="BE15" s="760">
        <v>0</v>
      </c>
      <c r="BF15" s="764">
        <v>0</v>
      </c>
      <c r="BG15" s="760"/>
      <c r="BH15" s="764">
        <v>0</v>
      </c>
      <c r="BI15" s="760"/>
      <c r="BJ15" s="764">
        <v>0</v>
      </c>
      <c r="BK15" s="760">
        <v>2</v>
      </c>
      <c r="BL15" s="764">
        <v>160</v>
      </c>
      <c r="BM15" s="762">
        <v>480</v>
      </c>
      <c r="BN15" s="784"/>
      <c r="BO15" s="778">
        <v>0</v>
      </c>
      <c r="BP15" s="762">
        <v>320</v>
      </c>
      <c r="BQ15" s="762">
        <v>480</v>
      </c>
      <c r="BR15" s="779">
        <v>800</v>
      </c>
    </row>
    <row r="16" spans="1:70" ht="30" x14ac:dyDescent="0.25">
      <c r="A16" s="796" t="s">
        <v>576</v>
      </c>
      <c r="B16" s="778">
        <v>80</v>
      </c>
      <c r="C16" s="760"/>
      <c r="D16" s="761"/>
      <c r="E16" s="760"/>
      <c r="F16" s="761"/>
      <c r="G16" s="760"/>
      <c r="H16" s="761"/>
      <c r="I16" s="760"/>
      <c r="J16" s="761"/>
      <c r="K16" s="760"/>
      <c r="L16" s="761"/>
      <c r="M16" s="760"/>
      <c r="N16" s="762">
        <v>0</v>
      </c>
      <c r="O16" s="793">
        <v>0</v>
      </c>
      <c r="P16" s="792">
        <v>0</v>
      </c>
      <c r="Q16" s="762">
        <v>0</v>
      </c>
      <c r="R16" s="760">
        <v>0</v>
      </c>
      <c r="S16" s="762">
        <v>0</v>
      </c>
      <c r="T16" s="760">
        <v>0</v>
      </c>
      <c r="U16" s="762">
        <v>0</v>
      </c>
      <c r="V16" s="760">
        <v>0</v>
      </c>
      <c r="W16" s="762">
        <v>0</v>
      </c>
      <c r="X16" s="760">
        <v>4</v>
      </c>
      <c r="Y16" s="762">
        <v>320</v>
      </c>
      <c r="Z16" s="760">
        <v>5</v>
      </c>
      <c r="AA16" s="762">
        <v>400</v>
      </c>
      <c r="AB16" s="760">
        <v>5</v>
      </c>
      <c r="AC16" s="762">
        <v>400</v>
      </c>
      <c r="AD16" s="760">
        <v>4</v>
      </c>
      <c r="AE16" s="762">
        <v>320</v>
      </c>
      <c r="AF16" s="760">
        <v>4</v>
      </c>
      <c r="AG16" s="762">
        <v>320</v>
      </c>
      <c r="AH16" s="760">
        <v>4</v>
      </c>
      <c r="AI16" s="762">
        <v>320</v>
      </c>
      <c r="AJ16" s="760">
        <v>4</v>
      </c>
      <c r="AK16" s="762">
        <v>320</v>
      </c>
      <c r="AL16" s="760">
        <v>4</v>
      </c>
      <c r="AM16" s="762">
        <v>292.97000000000003</v>
      </c>
      <c r="AN16" s="793">
        <v>2692.9700000000003</v>
      </c>
      <c r="AO16" s="789">
        <v>4</v>
      </c>
      <c r="AP16" s="764">
        <v>320</v>
      </c>
      <c r="AQ16" s="760">
        <v>4</v>
      </c>
      <c r="AR16" s="764">
        <v>320</v>
      </c>
      <c r="AS16" s="760">
        <v>4</v>
      </c>
      <c r="AT16" s="764">
        <v>320</v>
      </c>
      <c r="AU16" s="760">
        <v>4</v>
      </c>
      <c r="AV16" s="764">
        <v>320</v>
      </c>
      <c r="AW16" s="760">
        <v>4</v>
      </c>
      <c r="AX16" s="764">
        <v>320</v>
      </c>
      <c r="AY16" s="760">
        <v>4</v>
      </c>
      <c r="AZ16" s="764">
        <v>320</v>
      </c>
      <c r="BA16" s="760">
        <v>4</v>
      </c>
      <c r="BB16" s="764">
        <v>320</v>
      </c>
      <c r="BC16" s="760">
        <v>4</v>
      </c>
      <c r="BD16" s="764">
        <v>320</v>
      </c>
      <c r="BE16" s="760">
        <v>2</v>
      </c>
      <c r="BF16" s="764">
        <v>160</v>
      </c>
      <c r="BG16" s="760">
        <v>2</v>
      </c>
      <c r="BH16" s="764">
        <v>160</v>
      </c>
      <c r="BI16" s="760">
        <v>3</v>
      </c>
      <c r="BJ16" s="764">
        <v>240</v>
      </c>
      <c r="BK16" s="760">
        <v>3</v>
      </c>
      <c r="BL16" s="764">
        <v>240</v>
      </c>
      <c r="BM16" s="762">
        <v>3360</v>
      </c>
      <c r="BN16" s="784"/>
      <c r="BO16" s="778">
        <v>0</v>
      </c>
      <c r="BP16" s="762">
        <v>2692.9700000000003</v>
      </c>
      <c r="BQ16" s="762">
        <v>3360</v>
      </c>
      <c r="BR16" s="779">
        <v>6052.97</v>
      </c>
    </row>
    <row r="17" spans="1:70" x14ac:dyDescent="0.25">
      <c r="A17" s="796" t="s">
        <v>577</v>
      </c>
      <c r="B17" s="778">
        <v>130</v>
      </c>
      <c r="C17" s="760"/>
      <c r="D17" s="761"/>
      <c r="E17" s="760"/>
      <c r="F17" s="761"/>
      <c r="G17" s="760"/>
      <c r="H17" s="761"/>
      <c r="I17" s="760"/>
      <c r="J17" s="761"/>
      <c r="K17" s="760"/>
      <c r="L17" s="761"/>
      <c r="M17" s="760"/>
      <c r="N17" s="762">
        <v>0</v>
      </c>
      <c r="O17" s="793"/>
      <c r="P17" s="792">
        <v>0</v>
      </c>
      <c r="Q17" s="762">
        <v>0</v>
      </c>
      <c r="R17" s="760">
        <v>0</v>
      </c>
      <c r="S17" s="762">
        <v>0</v>
      </c>
      <c r="T17" s="760">
        <v>0</v>
      </c>
      <c r="U17" s="762">
        <v>0</v>
      </c>
      <c r="V17" s="760">
        <v>1</v>
      </c>
      <c r="W17" s="762">
        <v>130</v>
      </c>
      <c r="X17" s="760">
        <v>1</v>
      </c>
      <c r="Y17" s="762">
        <v>130</v>
      </c>
      <c r="Z17" s="760">
        <v>1</v>
      </c>
      <c r="AA17" s="762">
        <v>130</v>
      </c>
      <c r="AB17" s="760">
        <v>1</v>
      </c>
      <c r="AC17" s="762">
        <v>130</v>
      </c>
      <c r="AD17" s="760">
        <v>1</v>
      </c>
      <c r="AE17" s="762">
        <v>130</v>
      </c>
      <c r="AF17" s="760">
        <v>1</v>
      </c>
      <c r="AG17" s="762">
        <v>130</v>
      </c>
      <c r="AH17" s="760">
        <v>1</v>
      </c>
      <c r="AI17" s="762">
        <v>130</v>
      </c>
      <c r="AJ17" s="760">
        <v>1</v>
      </c>
      <c r="AK17" s="762">
        <v>130</v>
      </c>
      <c r="AL17" s="760">
        <v>1</v>
      </c>
      <c r="AM17" s="762">
        <v>130</v>
      </c>
      <c r="AN17" s="793">
        <v>1170</v>
      </c>
      <c r="AO17" s="789">
        <v>1</v>
      </c>
      <c r="AP17" s="764">
        <v>130</v>
      </c>
      <c r="AQ17" s="760">
        <v>1</v>
      </c>
      <c r="AR17" s="764">
        <v>130</v>
      </c>
      <c r="AS17" s="760">
        <v>1</v>
      </c>
      <c r="AT17" s="764">
        <v>130</v>
      </c>
      <c r="AU17" s="760">
        <v>0</v>
      </c>
      <c r="AV17" s="764">
        <v>0</v>
      </c>
      <c r="AW17" s="760">
        <v>0</v>
      </c>
      <c r="AX17" s="764">
        <v>0</v>
      </c>
      <c r="AY17" s="760">
        <v>0</v>
      </c>
      <c r="AZ17" s="764">
        <v>0</v>
      </c>
      <c r="BA17" s="760">
        <v>0</v>
      </c>
      <c r="BB17" s="764">
        <v>0</v>
      </c>
      <c r="BC17" s="760">
        <v>0</v>
      </c>
      <c r="BD17" s="764">
        <v>0</v>
      </c>
      <c r="BE17" s="760">
        <v>0</v>
      </c>
      <c r="BF17" s="764">
        <v>0</v>
      </c>
      <c r="BG17" s="760">
        <v>0</v>
      </c>
      <c r="BH17" s="764">
        <v>0</v>
      </c>
      <c r="BI17" s="760">
        <v>0</v>
      </c>
      <c r="BJ17" s="764">
        <v>0</v>
      </c>
      <c r="BK17" s="760">
        <v>0</v>
      </c>
      <c r="BL17" s="764">
        <v>0</v>
      </c>
      <c r="BM17" s="762">
        <v>390</v>
      </c>
      <c r="BN17" s="784"/>
      <c r="BO17" s="778">
        <v>0</v>
      </c>
      <c r="BP17" s="762">
        <v>1170</v>
      </c>
      <c r="BQ17" s="762">
        <v>390</v>
      </c>
      <c r="BR17" s="779">
        <v>1560</v>
      </c>
    </row>
    <row r="18" spans="1:70" ht="15.75" thickBot="1" x14ac:dyDescent="0.3">
      <c r="A18" s="797"/>
      <c r="B18" s="798"/>
      <c r="C18" s="799"/>
      <c r="D18" s="800">
        <v>0</v>
      </c>
      <c r="E18" s="799"/>
      <c r="F18" s="800">
        <v>0</v>
      </c>
      <c r="G18" s="799"/>
      <c r="H18" s="800">
        <v>0</v>
      </c>
      <c r="I18" s="799"/>
      <c r="J18" s="800">
        <v>0</v>
      </c>
      <c r="K18" s="799"/>
      <c r="L18" s="800">
        <v>0</v>
      </c>
      <c r="M18" s="781"/>
      <c r="N18" s="781">
        <v>1767.03</v>
      </c>
      <c r="O18" s="794">
        <v>1767.03</v>
      </c>
      <c r="P18" s="780"/>
      <c r="Q18" s="781">
        <v>520</v>
      </c>
      <c r="R18" s="781"/>
      <c r="S18" s="781">
        <v>260</v>
      </c>
      <c r="T18" s="781"/>
      <c r="U18" s="781">
        <v>2030</v>
      </c>
      <c r="V18" s="781"/>
      <c r="W18" s="781">
        <v>2420</v>
      </c>
      <c r="X18" s="781"/>
      <c r="Y18" s="781">
        <v>2980</v>
      </c>
      <c r="Z18" s="781"/>
      <c r="AA18" s="781">
        <v>2980</v>
      </c>
      <c r="AB18" s="781"/>
      <c r="AC18" s="781">
        <v>2980</v>
      </c>
      <c r="AD18" s="781"/>
      <c r="AE18" s="781">
        <v>2900</v>
      </c>
      <c r="AF18" s="781"/>
      <c r="AG18" s="781">
        <v>3110</v>
      </c>
      <c r="AH18" s="781"/>
      <c r="AI18" s="781">
        <v>3110</v>
      </c>
      <c r="AJ18" s="781"/>
      <c r="AK18" s="781">
        <v>2980</v>
      </c>
      <c r="AL18" s="781"/>
      <c r="AM18" s="781">
        <v>2922.9700000000003</v>
      </c>
      <c r="AN18" s="794">
        <v>29192.97</v>
      </c>
      <c r="AO18" s="790"/>
      <c r="AP18" s="763">
        <v>3410</v>
      </c>
      <c r="AQ18" s="763"/>
      <c r="AR18" s="763">
        <v>3450</v>
      </c>
      <c r="AS18" s="763"/>
      <c r="AT18" s="763">
        <v>2330</v>
      </c>
      <c r="AU18" s="763"/>
      <c r="AV18" s="763">
        <v>1940</v>
      </c>
      <c r="AW18" s="763"/>
      <c r="AX18" s="763">
        <v>3330</v>
      </c>
      <c r="AY18" s="763"/>
      <c r="AZ18" s="763">
        <v>3490</v>
      </c>
      <c r="BA18" s="763"/>
      <c r="BB18" s="763">
        <v>3200</v>
      </c>
      <c r="BC18" s="763"/>
      <c r="BD18" s="763">
        <v>3200</v>
      </c>
      <c r="BE18" s="763"/>
      <c r="BF18" s="763">
        <v>3040</v>
      </c>
      <c r="BG18" s="763"/>
      <c r="BH18" s="763">
        <v>2790</v>
      </c>
      <c r="BI18" s="763"/>
      <c r="BJ18" s="763">
        <v>2870</v>
      </c>
      <c r="BK18" s="763"/>
      <c r="BL18" s="763">
        <v>2900</v>
      </c>
      <c r="BM18" s="763">
        <v>35950</v>
      </c>
      <c r="BN18" s="784"/>
      <c r="BO18" s="780">
        <v>1767.03</v>
      </c>
      <c r="BP18" s="781">
        <v>29192.97</v>
      </c>
      <c r="BQ18" s="781">
        <v>35950</v>
      </c>
      <c r="BR18" s="782">
        <v>66910</v>
      </c>
    </row>
    <row r="19" spans="1:70" x14ac:dyDescent="0.25">
      <c r="A19" s="769" t="s">
        <v>578</v>
      </c>
      <c r="B19" s="757"/>
      <c r="C19" s="757"/>
      <c r="D19" s="757"/>
      <c r="E19" s="757"/>
      <c r="F19" s="757"/>
      <c r="G19" s="757"/>
      <c r="H19" s="757"/>
      <c r="I19" s="757"/>
      <c r="J19" s="757"/>
      <c r="K19" s="757"/>
      <c r="L19" s="757"/>
      <c r="M19" s="757"/>
      <c r="N19" s="757"/>
      <c r="O19" s="757"/>
      <c r="P19" s="757"/>
      <c r="Q19" s="757"/>
      <c r="R19" s="757"/>
      <c r="S19" s="757"/>
      <c r="T19" s="757"/>
      <c r="U19" s="757"/>
      <c r="V19" s="757"/>
      <c r="W19" s="757"/>
      <c r="X19" s="757"/>
      <c r="Y19" s="757"/>
      <c r="Z19" s="757"/>
      <c r="AA19" s="757"/>
      <c r="AB19" s="757"/>
      <c r="AC19" s="757"/>
      <c r="AD19" s="757"/>
      <c r="AE19" s="757"/>
      <c r="AF19" s="757"/>
      <c r="AG19" s="757"/>
      <c r="AH19" s="757"/>
      <c r="AI19" s="757"/>
      <c r="AJ19" s="757"/>
      <c r="AK19" s="757"/>
      <c r="AL19" s="757"/>
      <c r="AM19" s="757"/>
      <c r="AN19" s="757"/>
      <c r="AO19" s="757"/>
      <c r="AP19" s="757"/>
      <c r="AQ19" s="757"/>
      <c r="AR19" s="757"/>
      <c r="AS19" s="757"/>
      <c r="AT19" s="757"/>
      <c r="AU19" s="757"/>
      <c r="AV19" s="757"/>
      <c r="AW19" s="757"/>
      <c r="AX19" s="757"/>
      <c r="AY19" s="757"/>
      <c r="AZ19" s="757"/>
      <c r="BA19" s="757"/>
      <c r="BB19" s="757"/>
      <c r="BC19" s="757"/>
      <c r="BD19" s="757"/>
      <c r="BE19" s="757"/>
      <c r="BF19" s="757"/>
      <c r="BG19" s="757"/>
      <c r="BH19" s="757"/>
      <c r="BI19" s="757"/>
      <c r="BJ19" s="757"/>
      <c r="BK19" s="757"/>
      <c r="BL19" s="757"/>
      <c r="BM19" s="757"/>
      <c r="BN19" s="757"/>
      <c r="BO19" s="757"/>
      <c r="BP19" s="757"/>
      <c r="BQ19" s="757"/>
      <c r="BR19" s="757"/>
    </row>
    <row r="20" spans="1:70" x14ac:dyDescent="0.25">
      <c r="A20" s="765" t="s">
        <v>392</v>
      </c>
      <c r="B20" s="757"/>
      <c r="C20" s="757"/>
      <c r="D20" s="757"/>
      <c r="E20" s="757"/>
      <c r="F20" s="757"/>
      <c r="G20" s="757"/>
      <c r="H20" s="757"/>
      <c r="I20" s="757"/>
      <c r="J20" s="757"/>
      <c r="K20" s="757"/>
      <c r="L20" s="757"/>
      <c r="M20" s="757"/>
      <c r="N20" s="757"/>
      <c r="O20" s="757"/>
      <c r="P20" s="757"/>
      <c r="Q20" s="757"/>
      <c r="R20" s="757"/>
      <c r="S20" s="757"/>
      <c r="T20" s="757"/>
      <c r="U20" s="757"/>
      <c r="V20" s="757"/>
      <c r="W20" s="757"/>
      <c r="X20" s="757"/>
      <c r="Y20" s="757"/>
      <c r="Z20" s="757"/>
      <c r="AA20" s="757"/>
      <c r="AB20" s="757"/>
      <c r="AC20" s="757"/>
      <c r="AD20" s="757"/>
      <c r="AE20" s="757"/>
      <c r="AF20" s="757"/>
      <c r="AG20" s="757"/>
      <c r="AH20" s="757"/>
      <c r="AI20" s="757"/>
      <c r="AJ20" s="757"/>
      <c r="AK20" s="757"/>
      <c r="AL20" s="757"/>
      <c r="AM20" s="757"/>
      <c r="AN20" s="757"/>
      <c r="AO20" s="757"/>
      <c r="AP20" s="757"/>
      <c r="AQ20" s="757"/>
      <c r="AR20" s="757"/>
      <c r="AS20" s="757"/>
      <c r="AT20" s="757"/>
      <c r="AU20" s="757"/>
      <c r="AV20" s="757"/>
      <c r="AW20" s="757"/>
      <c r="AX20" s="757"/>
      <c r="AY20" s="757"/>
      <c r="AZ20" s="757"/>
      <c r="BA20" s="757"/>
      <c r="BB20" s="757"/>
      <c r="BC20" s="757"/>
      <c r="BD20" s="757"/>
      <c r="BE20" s="757"/>
      <c r="BF20" s="757"/>
      <c r="BG20" s="757"/>
      <c r="BH20" s="757"/>
      <c r="BI20" s="757"/>
      <c r="BJ20" s="757"/>
      <c r="BK20" s="757"/>
      <c r="BL20" s="757"/>
      <c r="BM20" s="757"/>
      <c r="BN20" s="757"/>
      <c r="BO20" s="757"/>
      <c r="BP20" s="757"/>
      <c r="BQ20" s="757"/>
      <c r="BR20" s="757"/>
    </row>
    <row r="21" spans="1:70" x14ac:dyDescent="0.25">
      <c r="A21" s="757" t="s">
        <v>579</v>
      </c>
      <c r="B21" s="757"/>
      <c r="C21" s="757"/>
      <c r="D21" s="757"/>
      <c r="E21" s="757"/>
      <c r="F21" s="757"/>
      <c r="G21" s="757"/>
      <c r="H21" s="757"/>
      <c r="I21" s="757"/>
      <c r="J21" s="757"/>
      <c r="K21" s="757"/>
      <c r="L21" s="757"/>
      <c r="M21" s="757"/>
      <c r="N21" s="757"/>
      <c r="O21" s="757"/>
      <c r="P21" s="757"/>
      <c r="Q21" s="757"/>
      <c r="R21" s="757"/>
      <c r="S21" s="757"/>
      <c r="T21" s="757"/>
      <c r="U21" s="757"/>
      <c r="V21" s="757"/>
      <c r="W21" s="757"/>
      <c r="X21" s="757"/>
      <c r="Y21" s="757"/>
      <c r="Z21" s="757"/>
      <c r="AA21" s="757"/>
      <c r="AB21" s="757"/>
      <c r="AC21" s="757"/>
      <c r="AD21" s="757"/>
      <c r="AE21" s="757"/>
      <c r="AF21" s="757"/>
      <c r="AG21" s="757"/>
      <c r="AH21" s="757"/>
      <c r="AI21" s="757"/>
      <c r="AJ21" s="757"/>
      <c r="AK21" s="757"/>
      <c r="AL21" s="757"/>
      <c r="AM21" s="757"/>
      <c r="AN21" s="757"/>
      <c r="AO21" s="757"/>
      <c r="AP21" s="757"/>
      <c r="AQ21" s="757"/>
      <c r="AR21" s="757"/>
      <c r="AS21" s="757"/>
      <c r="AT21" s="757"/>
      <c r="AU21" s="757"/>
      <c r="AV21" s="757"/>
      <c r="AW21" s="757"/>
      <c r="AX21" s="757"/>
      <c r="AY21" s="757"/>
      <c r="AZ21" s="757"/>
      <c r="BA21" s="757"/>
      <c r="BB21" s="757"/>
      <c r="BC21" s="757"/>
      <c r="BD21" s="757"/>
      <c r="BE21" s="757"/>
      <c r="BF21" s="757"/>
      <c r="BG21" s="757"/>
      <c r="BH21" s="757"/>
      <c r="BI21" s="757"/>
      <c r="BJ21" s="757"/>
      <c r="BK21" s="757"/>
      <c r="BL21" s="757"/>
      <c r="BM21" s="757"/>
      <c r="BN21" s="757"/>
      <c r="BO21" s="757"/>
      <c r="BP21" s="757"/>
      <c r="BQ21" s="757"/>
      <c r="BR21" s="757"/>
    </row>
    <row r="22" spans="1:70" x14ac:dyDescent="0.25">
      <c r="A22" s="757" t="s">
        <v>425</v>
      </c>
      <c r="B22" s="757"/>
      <c r="C22" s="757"/>
      <c r="D22" s="757"/>
      <c r="E22" s="757"/>
      <c r="F22" s="757"/>
      <c r="G22" s="757"/>
      <c r="H22" s="757"/>
      <c r="I22" s="757"/>
      <c r="J22" s="757"/>
      <c r="K22" s="757"/>
      <c r="L22" s="757"/>
      <c r="M22" s="757"/>
      <c r="N22" s="757"/>
      <c r="O22" s="757"/>
      <c r="P22" s="757"/>
      <c r="Q22" s="757"/>
      <c r="R22" s="757"/>
      <c r="S22" s="757"/>
      <c r="T22" s="757"/>
      <c r="U22" s="757"/>
      <c r="V22" s="757"/>
      <c r="W22" s="757"/>
      <c r="X22" s="757"/>
      <c r="Y22" s="757"/>
      <c r="Z22" s="757"/>
      <c r="AA22" s="757"/>
      <c r="AB22" s="757"/>
      <c r="AC22" s="757"/>
      <c r="AD22" s="757"/>
      <c r="AE22" s="757"/>
      <c r="AF22" s="757"/>
      <c r="AG22" s="757"/>
      <c r="AH22" s="757"/>
      <c r="AI22" s="757"/>
      <c r="AJ22" s="757"/>
      <c r="AK22" s="757"/>
      <c r="AL22" s="757"/>
      <c r="AM22" s="757"/>
      <c r="AN22" s="757"/>
      <c r="AO22" s="757"/>
      <c r="AP22" s="757"/>
      <c r="AQ22" s="757"/>
      <c r="AR22" s="757"/>
      <c r="AS22" s="757"/>
      <c r="AT22" s="757"/>
      <c r="AU22" s="757"/>
      <c r="AV22" s="757"/>
      <c r="AW22" s="757"/>
      <c r="AX22" s="757"/>
      <c r="AY22" s="757"/>
      <c r="AZ22" s="757"/>
      <c r="BA22" s="757"/>
      <c r="BB22" s="757"/>
      <c r="BC22" s="757"/>
      <c r="BD22" s="757"/>
      <c r="BE22" s="757"/>
      <c r="BF22" s="757"/>
      <c r="BG22" s="757"/>
      <c r="BH22" s="757"/>
      <c r="BI22" s="757"/>
      <c r="BJ22" s="757"/>
      <c r="BK22" s="757"/>
      <c r="BL22" s="757"/>
      <c r="BM22" s="757"/>
      <c r="BN22" s="757"/>
      <c r="BO22" s="757"/>
      <c r="BP22" s="757"/>
      <c r="BQ22" s="757"/>
      <c r="BR22" s="757"/>
    </row>
    <row r="24" spans="1:70" x14ac:dyDescent="0.25">
      <c r="A24" s="757"/>
      <c r="B24" s="757"/>
      <c r="C24" s="757"/>
      <c r="D24" s="757"/>
      <c r="E24" s="757">
        <v>1890</v>
      </c>
      <c r="F24" s="757">
        <v>15.75</v>
      </c>
      <c r="G24" s="757"/>
      <c r="H24" s="757"/>
      <c r="I24" s="757"/>
      <c r="J24" s="757"/>
      <c r="K24" s="757"/>
      <c r="L24" s="757"/>
      <c r="M24" s="757"/>
      <c r="N24" s="757"/>
      <c r="O24" s="757"/>
      <c r="P24" s="757"/>
      <c r="Q24" s="757"/>
      <c r="R24" s="757"/>
      <c r="S24" s="757"/>
      <c r="T24" s="757"/>
      <c r="U24" s="757"/>
      <c r="V24" s="757"/>
      <c r="W24" s="757"/>
      <c r="X24" s="757"/>
      <c r="Y24" s="757"/>
      <c r="Z24" s="757"/>
      <c r="AA24" s="757"/>
      <c r="AB24" s="757"/>
      <c r="AC24" s="757"/>
      <c r="AD24" s="757"/>
      <c r="AE24" s="757"/>
      <c r="AF24" s="757"/>
      <c r="AG24" s="757"/>
      <c r="AH24" s="757"/>
      <c r="AI24" s="757"/>
      <c r="AJ24" s="757"/>
      <c r="AK24" s="757"/>
      <c r="AL24" s="757"/>
      <c r="AM24" s="757"/>
      <c r="AN24" s="757"/>
      <c r="AO24" s="757"/>
      <c r="AP24" s="757"/>
      <c r="AQ24" s="757"/>
      <c r="AR24" s="757"/>
      <c r="AS24" s="757"/>
      <c r="AT24" s="757"/>
      <c r="AU24" s="757"/>
      <c r="AV24" s="757"/>
      <c r="AW24" s="757"/>
      <c r="AX24" s="757"/>
      <c r="AY24" s="757"/>
      <c r="AZ24" s="757"/>
      <c r="BA24" s="757"/>
      <c r="BB24" s="757"/>
      <c r="BC24" s="757"/>
      <c r="BD24" s="757"/>
      <c r="BE24" s="757"/>
      <c r="BF24" s="757"/>
      <c r="BG24" s="757"/>
      <c r="BH24" s="757"/>
      <c r="BI24" s="757"/>
      <c r="BJ24" s="757"/>
      <c r="BK24" s="757"/>
      <c r="BL24" s="757"/>
      <c r="BM24" s="757"/>
      <c r="BN24" s="757"/>
      <c r="BO24" s="757"/>
      <c r="BP24" s="757"/>
      <c r="BQ24" s="757"/>
      <c r="BR24" s="757"/>
    </row>
    <row r="28" spans="1:70" x14ac:dyDescent="0.25">
      <c r="A28" s="757"/>
      <c r="B28" s="757"/>
      <c r="C28" s="757" t="s">
        <v>387</v>
      </c>
      <c r="D28" s="757"/>
      <c r="E28" s="757"/>
      <c r="F28" s="757"/>
      <c r="G28" s="757"/>
      <c r="H28" s="757"/>
      <c r="I28" s="757"/>
      <c r="J28" s="757"/>
      <c r="K28" s="757"/>
      <c r="L28" s="757"/>
      <c r="M28" s="757"/>
      <c r="N28" s="757"/>
      <c r="O28" s="757"/>
      <c r="P28" s="757"/>
      <c r="Q28" s="757"/>
      <c r="R28" s="757"/>
      <c r="S28" s="757"/>
      <c r="T28" s="757"/>
      <c r="U28" s="757"/>
      <c r="V28" s="757"/>
      <c r="W28" s="757"/>
      <c r="X28" s="757"/>
      <c r="Y28" s="757"/>
      <c r="Z28" s="757"/>
      <c r="AA28" s="757"/>
      <c r="AB28" s="757"/>
      <c r="AC28" s="757"/>
      <c r="AD28" s="757"/>
      <c r="AE28" s="757"/>
      <c r="AF28" s="757"/>
      <c r="AG28" s="757"/>
      <c r="AH28" s="757"/>
      <c r="AI28" s="757"/>
      <c r="AJ28" s="757"/>
      <c r="AK28" s="757"/>
      <c r="AL28" s="757"/>
      <c r="AM28" s="757"/>
      <c r="AN28" s="757"/>
      <c r="AO28" s="757"/>
      <c r="AP28" s="757"/>
      <c r="AQ28" s="757"/>
      <c r="AR28" s="757"/>
      <c r="AS28" s="757"/>
      <c r="AT28" s="757"/>
      <c r="AU28" s="757"/>
      <c r="AV28" s="757"/>
      <c r="AW28" s="757"/>
      <c r="AX28" s="757"/>
      <c r="AY28" s="757"/>
      <c r="AZ28" s="757"/>
      <c r="BA28" s="757"/>
      <c r="BB28" s="757"/>
      <c r="BC28" s="757"/>
      <c r="BD28" s="757"/>
      <c r="BE28" s="757"/>
      <c r="BF28" s="757"/>
      <c r="BG28" s="757"/>
      <c r="BH28" s="757"/>
      <c r="BI28" s="757"/>
      <c r="BJ28" s="757"/>
      <c r="BK28" s="757"/>
      <c r="BL28" s="757"/>
      <c r="BM28" s="757"/>
      <c r="BN28" s="757"/>
      <c r="BO28" s="757"/>
      <c r="BP28" s="757"/>
      <c r="BQ28" s="757"/>
      <c r="BR28" s="757"/>
    </row>
  </sheetData>
  <mergeCells count="47">
    <mergeCell ref="K5:L5"/>
    <mergeCell ref="B2:N2"/>
    <mergeCell ref="X2:AP2"/>
    <mergeCell ref="BO4:BR4"/>
    <mergeCell ref="AO4:BM4"/>
    <mergeCell ref="B4:O4"/>
    <mergeCell ref="B5:B6"/>
    <mergeCell ref="C5:D5"/>
    <mergeCell ref="E5:F5"/>
    <mergeCell ref="G5:H5"/>
    <mergeCell ref="I5:J5"/>
    <mergeCell ref="AH5:AI5"/>
    <mergeCell ref="M5:N5"/>
    <mergeCell ref="V5:W5"/>
    <mergeCell ref="O5:O6"/>
    <mergeCell ref="P5:Q5"/>
    <mergeCell ref="R5:S5"/>
    <mergeCell ref="T5:U5"/>
    <mergeCell ref="X5:Y5"/>
    <mergeCell ref="Z5:AA5"/>
    <mergeCell ref="AB5:AC5"/>
    <mergeCell ref="AD5:AE5"/>
    <mergeCell ref="AF5:AG5"/>
    <mergeCell ref="AY5:AZ5"/>
    <mergeCell ref="BA5:BB5"/>
    <mergeCell ref="BC5:BD5"/>
    <mergeCell ref="AL5:AM5"/>
    <mergeCell ref="AN5:AN6"/>
    <mergeCell ref="AO5:AP5"/>
    <mergeCell ref="AQ5:AR5"/>
    <mergeCell ref="AS5:AT5"/>
    <mergeCell ref="BO5:BO6"/>
    <mergeCell ref="BP5:BP6"/>
    <mergeCell ref="BQ5:BQ6"/>
    <mergeCell ref="BR5:BR6"/>
    <mergeCell ref="B3:N3"/>
    <mergeCell ref="P3:AM3"/>
    <mergeCell ref="AO3:BB3"/>
    <mergeCell ref="P4:AM4"/>
    <mergeCell ref="BG5:BH5"/>
    <mergeCell ref="BM5:BM6"/>
    <mergeCell ref="BI5:BJ5"/>
    <mergeCell ref="BK5:BL5"/>
    <mergeCell ref="AU5:AV5"/>
    <mergeCell ref="AW5:AX5"/>
    <mergeCell ref="BE5:BF5"/>
    <mergeCell ref="AJ5:AK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dimension ref="B3:V13"/>
  <sheetViews>
    <sheetView workbookViewId="0">
      <selection activeCell="I13" sqref="I13"/>
    </sheetView>
  </sheetViews>
  <sheetFormatPr baseColWidth="10" defaultRowHeight="15" x14ac:dyDescent="0.25"/>
  <sheetData>
    <row r="3" spans="2:22" x14ac:dyDescent="0.25">
      <c r="B3" s="747" t="s">
        <v>424</v>
      </c>
      <c r="C3" s="746"/>
      <c r="D3" s="747" t="s">
        <v>580</v>
      </c>
      <c r="E3" s="747"/>
      <c r="F3" s="747"/>
      <c r="G3" s="747"/>
      <c r="H3" s="747"/>
      <c r="I3" s="746"/>
      <c r="J3" s="746"/>
      <c r="K3" s="746"/>
      <c r="L3" s="746"/>
      <c r="M3" s="746"/>
      <c r="N3" s="746"/>
      <c r="O3" s="746"/>
      <c r="P3" s="746"/>
      <c r="Q3" s="746"/>
      <c r="R3" s="746"/>
      <c r="S3" s="746"/>
      <c r="T3" s="746"/>
      <c r="U3" s="746"/>
      <c r="V3" s="746"/>
    </row>
    <row r="5" spans="2:22" x14ac:dyDescent="0.25">
      <c r="B5" s="1029" t="s">
        <v>456</v>
      </c>
      <c r="C5" s="1031" t="s">
        <v>455</v>
      </c>
      <c r="D5" s="1032" t="s">
        <v>581</v>
      </c>
      <c r="E5" s="1033"/>
      <c r="F5" s="1032">
        <v>43831</v>
      </c>
      <c r="G5" s="1033"/>
      <c r="H5" s="1032" t="s">
        <v>582</v>
      </c>
      <c r="I5" s="1033"/>
      <c r="J5" s="1032">
        <v>43891</v>
      </c>
      <c r="K5" s="1033"/>
      <c r="L5" s="1032">
        <v>43922</v>
      </c>
      <c r="M5" s="1033"/>
      <c r="N5" s="1032">
        <v>43952</v>
      </c>
      <c r="O5" s="1033"/>
      <c r="P5" s="1032">
        <v>43983</v>
      </c>
      <c r="Q5" s="1033"/>
      <c r="R5" s="1032">
        <v>44013</v>
      </c>
      <c r="S5" s="1033"/>
      <c r="T5" s="1032">
        <v>44044</v>
      </c>
      <c r="U5" s="1033"/>
      <c r="V5" s="750"/>
    </row>
    <row r="6" spans="2:22" ht="45" x14ac:dyDescent="0.25">
      <c r="B6" s="1030"/>
      <c r="C6" s="1031"/>
      <c r="D6" s="752" t="s">
        <v>457</v>
      </c>
      <c r="E6" s="752" t="s">
        <v>379</v>
      </c>
      <c r="F6" s="752" t="s">
        <v>457</v>
      </c>
      <c r="G6" s="752" t="s">
        <v>379</v>
      </c>
      <c r="H6" s="752" t="s">
        <v>457</v>
      </c>
      <c r="I6" s="752" t="s">
        <v>379</v>
      </c>
      <c r="J6" s="752" t="s">
        <v>457</v>
      </c>
      <c r="K6" s="752" t="s">
        <v>379</v>
      </c>
      <c r="L6" s="752" t="s">
        <v>457</v>
      </c>
      <c r="M6" s="752" t="s">
        <v>379</v>
      </c>
      <c r="N6" s="752" t="s">
        <v>457</v>
      </c>
      <c r="O6" s="752" t="s">
        <v>379</v>
      </c>
      <c r="P6" s="752" t="s">
        <v>457</v>
      </c>
      <c r="Q6" s="752" t="s">
        <v>379</v>
      </c>
      <c r="R6" s="752" t="s">
        <v>457</v>
      </c>
      <c r="S6" s="752" t="s">
        <v>379</v>
      </c>
      <c r="T6" s="752" t="s">
        <v>457</v>
      </c>
      <c r="U6" s="752" t="s">
        <v>379</v>
      </c>
      <c r="V6" s="753" t="s">
        <v>459</v>
      </c>
    </row>
    <row r="7" spans="2:22" ht="45" x14ac:dyDescent="0.25">
      <c r="B7" s="751" t="s">
        <v>454</v>
      </c>
      <c r="C7" s="749">
        <v>135</v>
      </c>
      <c r="D7" s="750">
        <v>6</v>
      </c>
      <c r="E7" s="749">
        <v>646</v>
      </c>
      <c r="F7" s="750">
        <v>0</v>
      </c>
      <c r="G7" s="749">
        <v>0</v>
      </c>
      <c r="H7" s="750">
        <v>8</v>
      </c>
      <c r="I7" s="749">
        <v>989</v>
      </c>
      <c r="J7" s="750">
        <v>16</v>
      </c>
      <c r="K7" s="749">
        <v>2160</v>
      </c>
      <c r="L7" s="750">
        <v>18</v>
      </c>
      <c r="M7" s="749">
        <v>2430</v>
      </c>
      <c r="N7" s="750">
        <v>18</v>
      </c>
      <c r="O7" s="749">
        <v>2430</v>
      </c>
      <c r="P7" s="750">
        <v>15</v>
      </c>
      <c r="Q7" s="749">
        <v>2025</v>
      </c>
      <c r="R7" s="750">
        <v>18</v>
      </c>
      <c r="S7" s="749">
        <v>2430</v>
      </c>
      <c r="T7" s="750">
        <v>18</v>
      </c>
      <c r="U7" s="749">
        <v>2430</v>
      </c>
      <c r="V7" s="754">
        <v>15540</v>
      </c>
    </row>
    <row r="8" spans="2:22" x14ac:dyDescent="0.25">
      <c r="B8" s="748" t="s">
        <v>583</v>
      </c>
      <c r="C8" s="746"/>
      <c r="D8" s="746"/>
      <c r="E8" s="746"/>
      <c r="F8" s="746"/>
      <c r="G8" s="746"/>
      <c r="H8" s="746"/>
      <c r="I8" s="746"/>
      <c r="J8" s="746"/>
      <c r="K8" s="746"/>
      <c r="L8" s="746"/>
      <c r="M8" s="746"/>
      <c r="N8" s="746"/>
      <c r="O8" s="746"/>
      <c r="P8" s="746"/>
      <c r="Q8" s="746"/>
      <c r="R8" s="746"/>
      <c r="S8" s="746"/>
      <c r="T8" s="746"/>
      <c r="U8" s="746"/>
      <c r="V8" s="746"/>
    </row>
    <row r="11" spans="2:22" x14ac:dyDescent="0.25">
      <c r="B11" s="746"/>
      <c r="C11" s="746"/>
      <c r="D11" s="746"/>
      <c r="E11" s="746"/>
      <c r="F11" s="746"/>
      <c r="G11" s="746"/>
      <c r="H11" s="746"/>
      <c r="I11" s="746"/>
      <c r="J11" s="746"/>
      <c r="K11" s="746"/>
      <c r="L11" s="746"/>
      <c r="M11" s="746"/>
      <c r="N11" s="746"/>
      <c r="O11" s="746"/>
      <c r="P11" s="746"/>
      <c r="Q11" s="746"/>
      <c r="R11" s="755"/>
      <c r="S11" s="746"/>
      <c r="T11" s="746"/>
      <c r="U11" s="746"/>
      <c r="V11" s="746"/>
    </row>
    <row r="12" spans="2:22" x14ac:dyDescent="0.25">
      <c r="B12" s="746"/>
      <c r="C12" s="746"/>
      <c r="D12" s="746"/>
      <c r="E12" s="746"/>
      <c r="F12" s="746"/>
      <c r="G12" s="746"/>
      <c r="H12" s="746"/>
      <c r="I12" s="746"/>
      <c r="J12" s="746"/>
      <c r="K12" s="746"/>
      <c r="L12" s="746"/>
      <c r="M12" s="746"/>
      <c r="N12" s="746"/>
      <c r="O12" s="746"/>
      <c r="P12" s="746"/>
      <c r="Q12" s="746"/>
      <c r="R12" s="755"/>
      <c r="S12" s="746"/>
      <c r="T12" s="746"/>
      <c r="U12" s="746"/>
      <c r="V12" s="746"/>
    </row>
    <row r="13" spans="2:22" x14ac:dyDescent="0.25">
      <c r="B13" s="746"/>
      <c r="C13" s="746"/>
      <c r="D13" s="746"/>
      <c r="E13" s="746"/>
      <c r="F13" s="746"/>
      <c r="G13" s="746"/>
      <c r="H13" s="746"/>
      <c r="I13" s="746"/>
      <c r="J13" s="746"/>
      <c r="K13" s="746"/>
      <c r="L13" s="746"/>
      <c r="M13" s="746"/>
      <c r="N13" s="746"/>
      <c r="O13" s="746"/>
      <c r="P13" s="746"/>
      <c r="Q13" s="746"/>
      <c r="R13" s="746"/>
      <c r="S13" s="746"/>
      <c r="T13" s="746"/>
      <c r="U13" s="756"/>
      <c r="V13" s="746"/>
    </row>
  </sheetData>
  <mergeCells count="11">
    <mergeCell ref="T5:U5"/>
    <mergeCell ref="J5:K5"/>
    <mergeCell ref="L5:M5"/>
    <mergeCell ref="N5:O5"/>
    <mergeCell ref="P5:Q5"/>
    <mergeCell ref="R5:S5"/>
    <mergeCell ref="B5:B6"/>
    <mergeCell ref="C5:C6"/>
    <mergeCell ref="D5:E5"/>
    <mergeCell ref="F5:G5"/>
    <mergeCell ref="H5:I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dimension ref="A2:BM28"/>
  <sheetViews>
    <sheetView topLeftCell="AX16" workbookViewId="0">
      <selection sqref="A1:BM28"/>
    </sheetView>
  </sheetViews>
  <sheetFormatPr baseColWidth="10" defaultRowHeight="15" x14ac:dyDescent="0.25"/>
  <sheetData>
    <row r="2" spans="1:65" x14ac:dyDescent="0.25">
      <c r="A2" s="716"/>
      <c r="B2" s="1000" t="s">
        <v>423</v>
      </c>
      <c r="C2" s="1000"/>
      <c r="D2" s="1000"/>
      <c r="E2" s="1000"/>
      <c r="F2" s="1000"/>
      <c r="G2" s="1000"/>
      <c r="H2" s="1000"/>
      <c r="I2" s="1000"/>
      <c r="J2" s="1000"/>
      <c r="K2" s="1000"/>
      <c r="L2" s="1000"/>
      <c r="M2" s="1000"/>
      <c r="N2" s="1000"/>
      <c r="O2" s="716"/>
      <c r="P2" s="716"/>
      <c r="Q2" s="716"/>
      <c r="R2" s="716"/>
      <c r="S2" s="716"/>
      <c r="T2" s="716"/>
      <c r="U2" s="716"/>
      <c r="V2" s="716"/>
      <c r="W2" s="716"/>
      <c r="X2" s="1000"/>
      <c r="Y2" s="1000"/>
      <c r="Z2" s="1000"/>
      <c r="AA2" s="1000"/>
      <c r="AB2" s="1000"/>
      <c r="AC2" s="1000"/>
      <c r="AD2" s="1000"/>
      <c r="AE2" s="1000"/>
      <c r="AF2" s="1000"/>
      <c r="AG2" s="1000"/>
      <c r="AH2" s="1000"/>
      <c r="AI2" s="1000"/>
      <c r="AJ2" s="1000"/>
      <c r="AK2" s="1000"/>
      <c r="AL2" s="1000"/>
      <c r="AM2" s="1000"/>
      <c r="AN2" s="1000"/>
      <c r="AO2" s="1000"/>
      <c r="AP2" s="1000"/>
      <c r="AQ2" s="716"/>
      <c r="AR2" s="716"/>
      <c r="AS2" s="716"/>
      <c r="AT2" s="716"/>
      <c r="AU2" s="716"/>
      <c r="AV2" s="716"/>
      <c r="AW2" s="716"/>
      <c r="AX2" s="716"/>
      <c r="AY2" s="716"/>
      <c r="AZ2" s="716"/>
      <c r="BA2" s="716"/>
      <c r="BB2" s="716"/>
      <c r="BC2" s="716"/>
      <c r="BD2" s="716"/>
      <c r="BE2" s="716"/>
      <c r="BF2" s="716"/>
      <c r="BG2" s="716"/>
      <c r="BH2" s="716"/>
      <c r="BI2" s="716"/>
      <c r="BJ2" s="716"/>
      <c r="BK2" s="716"/>
      <c r="BL2" s="716"/>
      <c r="BM2" s="716"/>
    </row>
    <row r="3" spans="1:65" ht="15.75" thickBot="1" x14ac:dyDescent="0.3">
      <c r="A3" s="716"/>
      <c r="B3" s="1000"/>
      <c r="C3" s="1000"/>
      <c r="D3" s="1000"/>
      <c r="E3" s="1000"/>
      <c r="F3" s="1000"/>
      <c r="G3" s="1000"/>
      <c r="H3" s="1000"/>
      <c r="I3" s="1000"/>
      <c r="J3" s="1000"/>
      <c r="K3" s="1000"/>
      <c r="L3" s="1000"/>
      <c r="M3" s="1000"/>
      <c r="N3" s="1000"/>
      <c r="O3" s="716"/>
      <c r="P3" s="1000" t="s">
        <v>390</v>
      </c>
      <c r="Q3" s="1000"/>
      <c r="R3" s="1000"/>
      <c r="S3" s="1000"/>
      <c r="T3" s="1000"/>
      <c r="U3" s="1000"/>
      <c r="V3" s="1000"/>
      <c r="W3" s="1000"/>
      <c r="X3" s="1000"/>
      <c r="Y3" s="1000"/>
      <c r="Z3" s="1000"/>
      <c r="AA3" s="1000"/>
      <c r="AB3" s="1000"/>
      <c r="AC3" s="1000"/>
      <c r="AD3" s="1000"/>
      <c r="AE3" s="1000"/>
      <c r="AF3" s="1000"/>
      <c r="AG3" s="1000"/>
      <c r="AH3" s="1000"/>
      <c r="AI3" s="1000"/>
      <c r="AJ3" s="1000"/>
      <c r="AK3" s="1000"/>
      <c r="AL3" s="1000"/>
      <c r="AM3" s="1000"/>
      <c r="AN3" s="716"/>
      <c r="AO3" s="1000" t="s">
        <v>390</v>
      </c>
      <c r="AP3" s="1000"/>
      <c r="AQ3" s="1000"/>
      <c r="AR3" s="1000"/>
      <c r="AS3" s="1000"/>
      <c r="AT3" s="1000"/>
      <c r="AU3" s="1000"/>
      <c r="AV3" s="1000"/>
      <c r="AW3" s="1000"/>
      <c r="AX3" s="1000"/>
      <c r="AY3" s="1000"/>
      <c r="AZ3" s="1000"/>
      <c r="BA3" s="1000"/>
      <c r="BB3" s="1000"/>
      <c r="BC3" s="728"/>
      <c r="BD3" s="728"/>
      <c r="BE3" s="728"/>
      <c r="BF3" s="728"/>
      <c r="BG3" s="728"/>
      <c r="BH3" s="728"/>
      <c r="BI3" s="728"/>
      <c r="BJ3" s="728"/>
      <c r="BK3" s="728"/>
      <c r="BL3" s="728"/>
      <c r="BM3" s="716"/>
    </row>
    <row r="4" spans="1:65" ht="27" thickBot="1" x14ac:dyDescent="0.45">
      <c r="A4" s="716"/>
      <c r="B4" s="1019">
        <v>2019</v>
      </c>
      <c r="C4" s="1020"/>
      <c r="D4" s="1020"/>
      <c r="E4" s="1020"/>
      <c r="F4" s="1020"/>
      <c r="G4" s="1020"/>
      <c r="H4" s="1020"/>
      <c r="I4" s="1020"/>
      <c r="J4" s="1020"/>
      <c r="K4" s="1020"/>
      <c r="L4" s="1020"/>
      <c r="M4" s="1020"/>
      <c r="N4" s="1020"/>
      <c r="O4" s="1021"/>
      <c r="P4" s="1001">
        <v>2020</v>
      </c>
      <c r="Q4" s="1002"/>
      <c r="R4" s="1002"/>
      <c r="S4" s="1002"/>
      <c r="T4" s="1002"/>
      <c r="U4" s="1002"/>
      <c r="V4" s="1002"/>
      <c r="W4" s="1002"/>
      <c r="X4" s="1002"/>
      <c r="Y4" s="1002"/>
      <c r="Z4" s="1002"/>
      <c r="AA4" s="1002"/>
      <c r="AB4" s="1002"/>
      <c r="AC4" s="1002"/>
      <c r="AD4" s="1002"/>
      <c r="AE4" s="1002"/>
      <c r="AF4" s="1002"/>
      <c r="AG4" s="1002"/>
      <c r="AH4" s="1002"/>
      <c r="AI4" s="1002"/>
      <c r="AJ4" s="1002"/>
      <c r="AK4" s="1002"/>
      <c r="AL4" s="1002"/>
      <c r="AM4" s="1002"/>
      <c r="AN4" s="732"/>
      <c r="AO4" s="1017">
        <v>2021</v>
      </c>
      <c r="AP4" s="1017"/>
      <c r="AQ4" s="1017"/>
      <c r="AR4" s="1017"/>
      <c r="AS4" s="1017"/>
      <c r="AT4" s="1017"/>
      <c r="AU4" s="1017"/>
      <c r="AV4" s="1017"/>
      <c r="AW4" s="1017"/>
      <c r="AX4" s="1017"/>
      <c r="AY4" s="1017"/>
      <c r="AZ4" s="1017"/>
      <c r="BA4" s="1017"/>
      <c r="BB4" s="1017"/>
      <c r="BC4" s="1017"/>
      <c r="BD4" s="1017"/>
      <c r="BE4" s="1017"/>
      <c r="BF4" s="1017"/>
      <c r="BG4" s="1017"/>
      <c r="BH4" s="1017"/>
      <c r="BI4" s="1017"/>
      <c r="BJ4" s="1017"/>
      <c r="BK4" s="1017"/>
      <c r="BL4" s="1017"/>
      <c r="BM4" s="1018"/>
    </row>
    <row r="5" spans="1:65" x14ac:dyDescent="0.25">
      <c r="A5" s="716"/>
      <c r="B5" s="1022" t="s">
        <v>391</v>
      </c>
      <c r="C5" s="1012" t="s">
        <v>365</v>
      </c>
      <c r="D5" s="1013"/>
      <c r="E5" s="1012" t="s">
        <v>366</v>
      </c>
      <c r="F5" s="1013"/>
      <c r="G5" s="1012" t="s">
        <v>367</v>
      </c>
      <c r="H5" s="1013"/>
      <c r="I5" s="1012" t="s">
        <v>368</v>
      </c>
      <c r="J5" s="1013"/>
      <c r="K5" s="1012" t="s">
        <v>369</v>
      </c>
      <c r="L5" s="1013"/>
      <c r="M5" s="1024" t="s">
        <v>373</v>
      </c>
      <c r="N5" s="1025"/>
      <c r="O5" s="1026">
        <v>2019</v>
      </c>
      <c r="P5" s="1028" t="s">
        <v>374</v>
      </c>
      <c r="Q5" s="1004"/>
      <c r="R5" s="1008" t="s">
        <v>375</v>
      </c>
      <c r="S5" s="1004"/>
      <c r="T5" s="1008" t="s">
        <v>376</v>
      </c>
      <c r="U5" s="1004"/>
      <c r="V5" s="1008" t="s">
        <v>365</v>
      </c>
      <c r="W5" s="1004"/>
      <c r="X5" s="1008" t="s">
        <v>366</v>
      </c>
      <c r="Y5" s="1004"/>
      <c r="Z5" s="1008" t="s">
        <v>367</v>
      </c>
      <c r="AA5" s="1004"/>
      <c r="AB5" s="1008" t="s">
        <v>368</v>
      </c>
      <c r="AC5" s="1004"/>
      <c r="AD5" s="1008" t="s">
        <v>369</v>
      </c>
      <c r="AE5" s="1004"/>
      <c r="AF5" s="1008" t="s">
        <v>370</v>
      </c>
      <c r="AG5" s="1004"/>
      <c r="AH5" s="1008" t="s">
        <v>371</v>
      </c>
      <c r="AI5" s="1004"/>
      <c r="AJ5" s="1008" t="s">
        <v>372</v>
      </c>
      <c r="AK5" s="1004"/>
      <c r="AL5" s="1008" t="s">
        <v>373</v>
      </c>
      <c r="AM5" s="1004"/>
      <c r="AN5" s="1009">
        <v>2020</v>
      </c>
      <c r="AO5" s="1011" t="s">
        <v>374</v>
      </c>
      <c r="AP5" s="1004"/>
      <c r="AQ5" s="1003" t="s">
        <v>375</v>
      </c>
      <c r="AR5" s="1004"/>
      <c r="AS5" s="1003" t="s">
        <v>376</v>
      </c>
      <c r="AT5" s="1004"/>
      <c r="AU5" s="1003" t="s">
        <v>365</v>
      </c>
      <c r="AV5" s="1004"/>
      <c r="AW5" s="1003" t="s">
        <v>366</v>
      </c>
      <c r="AX5" s="1004"/>
      <c r="AY5" s="1003" t="s">
        <v>367</v>
      </c>
      <c r="AZ5" s="1004"/>
      <c r="BA5" s="1003" t="s">
        <v>368</v>
      </c>
      <c r="BB5" s="1004"/>
      <c r="BC5" s="1003" t="s">
        <v>369</v>
      </c>
      <c r="BD5" s="1004"/>
      <c r="BE5" s="1003" t="s">
        <v>370</v>
      </c>
      <c r="BF5" s="1004"/>
      <c r="BG5" s="1003" t="s">
        <v>371</v>
      </c>
      <c r="BH5" s="1004"/>
      <c r="BI5" s="1003" t="s">
        <v>372</v>
      </c>
      <c r="BJ5" s="1004"/>
      <c r="BK5" s="1005" t="s">
        <v>373</v>
      </c>
      <c r="BL5" s="1007"/>
      <c r="BM5" s="1005">
        <v>2021</v>
      </c>
    </row>
    <row r="6" spans="1:65" x14ac:dyDescent="0.25">
      <c r="A6" s="716"/>
      <c r="B6" s="1023"/>
      <c r="C6" s="717" t="s">
        <v>378</v>
      </c>
      <c r="D6" s="717" t="s">
        <v>379</v>
      </c>
      <c r="E6" s="717" t="s">
        <v>378</v>
      </c>
      <c r="F6" s="717" t="s">
        <v>379</v>
      </c>
      <c r="G6" s="717" t="s">
        <v>378</v>
      </c>
      <c r="H6" s="717" t="s">
        <v>379</v>
      </c>
      <c r="I6" s="717" t="s">
        <v>378</v>
      </c>
      <c r="J6" s="717" t="s">
        <v>379</v>
      </c>
      <c r="K6" s="717" t="s">
        <v>378</v>
      </c>
      <c r="L6" s="717" t="s">
        <v>379</v>
      </c>
      <c r="M6" s="724" t="s">
        <v>378</v>
      </c>
      <c r="N6" s="724" t="s">
        <v>379</v>
      </c>
      <c r="O6" s="1027"/>
      <c r="P6" s="736" t="s">
        <v>378</v>
      </c>
      <c r="Q6" s="725" t="s">
        <v>379</v>
      </c>
      <c r="R6" s="725" t="s">
        <v>378</v>
      </c>
      <c r="S6" s="725" t="s">
        <v>379</v>
      </c>
      <c r="T6" s="725" t="s">
        <v>378</v>
      </c>
      <c r="U6" s="725" t="s">
        <v>379</v>
      </c>
      <c r="V6" s="725" t="s">
        <v>378</v>
      </c>
      <c r="W6" s="725" t="s">
        <v>379</v>
      </c>
      <c r="X6" s="725" t="s">
        <v>378</v>
      </c>
      <c r="Y6" s="725" t="s">
        <v>379</v>
      </c>
      <c r="Z6" s="725" t="s">
        <v>378</v>
      </c>
      <c r="AA6" s="725" t="s">
        <v>379</v>
      </c>
      <c r="AB6" s="725" t="s">
        <v>378</v>
      </c>
      <c r="AC6" s="725" t="s">
        <v>379</v>
      </c>
      <c r="AD6" s="725" t="s">
        <v>378</v>
      </c>
      <c r="AE6" s="725" t="s">
        <v>379</v>
      </c>
      <c r="AF6" s="725" t="s">
        <v>378</v>
      </c>
      <c r="AG6" s="725" t="s">
        <v>379</v>
      </c>
      <c r="AH6" s="725" t="s">
        <v>378</v>
      </c>
      <c r="AI6" s="725" t="s">
        <v>379</v>
      </c>
      <c r="AJ6" s="725" t="s">
        <v>378</v>
      </c>
      <c r="AK6" s="725" t="s">
        <v>379</v>
      </c>
      <c r="AL6" s="725" t="s">
        <v>378</v>
      </c>
      <c r="AM6" s="725" t="s">
        <v>379</v>
      </c>
      <c r="AN6" s="1010"/>
      <c r="AO6" s="733" t="s">
        <v>378</v>
      </c>
      <c r="AP6" s="726" t="s">
        <v>379</v>
      </c>
      <c r="AQ6" s="726" t="s">
        <v>378</v>
      </c>
      <c r="AR6" s="726" t="s">
        <v>379</v>
      </c>
      <c r="AS6" s="726" t="s">
        <v>378</v>
      </c>
      <c r="AT6" s="726" t="s">
        <v>379</v>
      </c>
      <c r="AU6" s="726" t="s">
        <v>378</v>
      </c>
      <c r="AV6" s="726" t="s">
        <v>379</v>
      </c>
      <c r="AW6" s="726" t="s">
        <v>378</v>
      </c>
      <c r="AX6" s="726" t="s">
        <v>379</v>
      </c>
      <c r="AY6" s="726" t="s">
        <v>378</v>
      </c>
      <c r="AZ6" s="726" t="s">
        <v>379</v>
      </c>
      <c r="BA6" s="726" t="s">
        <v>378</v>
      </c>
      <c r="BB6" s="726" t="s">
        <v>379</v>
      </c>
      <c r="BC6" s="726" t="s">
        <v>378</v>
      </c>
      <c r="BD6" s="726" t="s">
        <v>379</v>
      </c>
      <c r="BE6" s="726" t="s">
        <v>378</v>
      </c>
      <c r="BF6" s="726" t="s">
        <v>379</v>
      </c>
      <c r="BG6" s="726" t="s">
        <v>378</v>
      </c>
      <c r="BH6" s="726" t="s">
        <v>379</v>
      </c>
      <c r="BI6" s="726" t="s">
        <v>378</v>
      </c>
      <c r="BJ6" s="726" t="s">
        <v>379</v>
      </c>
      <c r="BK6" s="726" t="s">
        <v>378</v>
      </c>
      <c r="BL6" s="726" t="s">
        <v>379</v>
      </c>
      <c r="BM6" s="1006"/>
    </row>
    <row r="7" spans="1:65" x14ac:dyDescent="0.25">
      <c r="A7" s="740" t="s">
        <v>380</v>
      </c>
      <c r="B7" s="729">
        <v>80</v>
      </c>
      <c r="C7" s="718">
        <v>0</v>
      </c>
      <c r="D7" s="719">
        <v>0</v>
      </c>
      <c r="E7" s="718"/>
      <c r="F7" s="719">
        <v>0</v>
      </c>
      <c r="G7" s="718"/>
      <c r="H7" s="719">
        <v>0</v>
      </c>
      <c r="I7" s="718"/>
      <c r="J7" s="719">
        <v>0</v>
      </c>
      <c r="K7" s="718"/>
      <c r="L7" s="719">
        <v>0</v>
      </c>
      <c r="M7" s="718"/>
      <c r="N7" s="720">
        <v>0</v>
      </c>
      <c r="O7" s="738">
        <v>0</v>
      </c>
      <c r="P7" s="737">
        <v>0</v>
      </c>
      <c r="Q7" s="720">
        <v>0</v>
      </c>
      <c r="R7" s="718">
        <v>0</v>
      </c>
      <c r="S7" s="720">
        <v>0</v>
      </c>
      <c r="T7" s="718">
        <v>0</v>
      </c>
      <c r="U7" s="720">
        <v>0</v>
      </c>
      <c r="V7" s="718">
        <v>0</v>
      </c>
      <c r="W7" s="720">
        <v>0</v>
      </c>
      <c r="X7" s="718">
        <v>2</v>
      </c>
      <c r="Y7" s="720">
        <v>160</v>
      </c>
      <c r="Z7" s="718">
        <v>2</v>
      </c>
      <c r="AA7" s="720">
        <v>160</v>
      </c>
      <c r="AB7" s="718">
        <v>2</v>
      </c>
      <c r="AC7" s="720">
        <v>160</v>
      </c>
      <c r="AD7" s="718">
        <v>2</v>
      </c>
      <c r="AE7" s="720">
        <v>160</v>
      </c>
      <c r="AF7" s="718">
        <v>2</v>
      </c>
      <c r="AG7" s="720">
        <v>160</v>
      </c>
      <c r="AH7" s="718">
        <v>2</v>
      </c>
      <c r="AI7" s="720">
        <v>160</v>
      </c>
      <c r="AJ7" s="718">
        <v>2</v>
      </c>
      <c r="AK7" s="720">
        <v>160</v>
      </c>
      <c r="AL7" s="718">
        <v>2</v>
      </c>
      <c r="AM7" s="720">
        <v>160</v>
      </c>
      <c r="AN7" s="738">
        <v>1280</v>
      </c>
      <c r="AO7" s="734">
        <v>2</v>
      </c>
      <c r="AP7" s="722">
        <v>160</v>
      </c>
      <c r="AQ7" s="718">
        <v>2</v>
      </c>
      <c r="AR7" s="722">
        <v>160</v>
      </c>
      <c r="AS7" s="718">
        <v>2</v>
      </c>
      <c r="AT7" s="722">
        <v>160</v>
      </c>
      <c r="AU7" s="718">
        <v>2</v>
      </c>
      <c r="AV7" s="722">
        <v>160</v>
      </c>
      <c r="AW7" s="718">
        <v>2</v>
      </c>
      <c r="AX7" s="722">
        <v>160</v>
      </c>
      <c r="AY7" s="718">
        <v>2</v>
      </c>
      <c r="AZ7" s="722">
        <v>160</v>
      </c>
      <c r="BA7" s="718">
        <v>2</v>
      </c>
      <c r="BB7" s="722">
        <v>160</v>
      </c>
      <c r="BC7" s="718">
        <v>2</v>
      </c>
      <c r="BD7" s="722">
        <v>160</v>
      </c>
      <c r="BE7" s="718">
        <v>2</v>
      </c>
      <c r="BF7" s="722">
        <v>160</v>
      </c>
      <c r="BG7" s="718">
        <v>2</v>
      </c>
      <c r="BH7" s="722">
        <v>160</v>
      </c>
      <c r="BI7" s="718">
        <v>2</v>
      </c>
      <c r="BJ7" s="722">
        <v>160</v>
      </c>
      <c r="BK7" s="718">
        <v>2</v>
      </c>
      <c r="BL7" s="722">
        <v>160</v>
      </c>
      <c r="BM7" s="720">
        <v>1920</v>
      </c>
    </row>
    <row r="8" spans="1:65" ht="30" x14ac:dyDescent="0.25">
      <c r="A8" s="741" t="s">
        <v>381</v>
      </c>
      <c r="B8" s="729">
        <v>120</v>
      </c>
      <c r="C8" s="718">
        <v>0</v>
      </c>
      <c r="D8" s="719">
        <v>0</v>
      </c>
      <c r="E8" s="718"/>
      <c r="F8" s="719">
        <v>0</v>
      </c>
      <c r="G8" s="718"/>
      <c r="H8" s="719">
        <v>0</v>
      </c>
      <c r="I8" s="718"/>
      <c r="J8" s="719">
        <v>0</v>
      </c>
      <c r="K8" s="718"/>
      <c r="L8" s="719">
        <v>0</v>
      </c>
      <c r="M8" s="718">
        <v>1</v>
      </c>
      <c r="N8" s="720">
        <v>217.6</v>
      </c>
      <c r="O8" s="738">
        <v>217.6</v>
      </c>
      <c r="P8" s="737">
        <v>0</v>
      </c>
      <c r="Q8" s="720">
        <v>0</v>
      </c>
      <c r="R8" s="718">
        <v>0</v>
      </c>
      <c r="S8" s="720">
        <v>0</v>
      </c>
      <c r="T8" s="718">
        <v>3</v>
      </c>
      <c r="U8" s="720">
        <v>360</v>
      </c>
      <c r="V8" s="718">
        <v>3</v>
      </c>
      <c r="W8" s="720">
        <v>360</v>
      </c>
      <c r="X8" s="718">
        <v>3</v>
      </c>
      <c r="Y8" s="720">
        <v>360</v>
      </c>
      <c r="Z8" s="718">
        <v>3</v>
      </c>
      <c r="AA8" s="720">
        <v>360</v>
      </c>
      <c r="AB8" s="718">
        <v>3</v>
      </c>
      <c r="AC8" s="720">
        <v>360</v>
      </c>
      <c r="AD8" s="718">
        <v>3</v>
      </c>
      <c r="AE8" s="720">
        <v>360</v>
      </c>
      <c r="AF8" s="718">
        <v>3</v>
      </c>
      <c r="AG8" s="720">
        <v>360</v>
      </c>
      <c r="AH8" s="718">
        <v>3</v>
      </c>
      <c r="AI8" s="720">
        <v>360</v>
      </c>
      <c r="AJ8" s="718">
        <v>3</v>
      </c>
      <c r="AK8" s="720">
        <v>360</v>
      </c>
      <c r="AL8" s="718">
        <v>3</v>
      </c>
      <c r="AM8" s="720">
        <v>360</v>
      </c>
      <c r="AN8" s="738">
        <v>3600</v>
      </c>
      <c r="AO8" s="734">
        <v>3</v>
      </c>
      <c r="AP8" s="722">
        <v>360</v>
      </c>
      <c r="AQ8" s="718">
        <v>2</v>
      </c>
      <c r="AR8" s="722">
        <v>240</v>
      </c>
      <c r="AS8" s="718">
        <v>1</v>
      </c>
      <c r="AT8" s="722">
        <v>120</v>
      </c>
      <c r="AU8" s="718">
        <v>1</v>
      </c>
      <c r="AV8" s="722">
        <v>120</v>
      </c>
      <c r="AW8" s="718">
        <v>3</v>
      </c>
      <c r="AX8" s="722">
        <v>360</v>
      </c>
      <c r="AY8" s="718">
        <v>3</v>
      </c>
      <c r="AZ8" s="722">
        <v>360</v>
      </c>
      <c r="BA8" s="718">
        <v>3</v>
      </c>
      <c r="BB8" s="722">
        <v>360</v>
      </c>
      <c r="BC8" s="718">
        <v>3</v>
      </c>
      <c r="BD8" s="722">
        <v>360</v>
      </c>
      <c r="BE8" s="718">
        <v>3</v>
      </c>
      <c r="BF8" s="722">
        <v>360</v>
      </c>
      <c r="BG8" s="718">
        <v>2</v>
      </c>
      <c r="BH8" s="722">
        <v>240</v>
      </c>
      <c r="BI8" s="718">
        <v>2</v>
      </c>
      <c r="BJ8" s="722">
        <v>240</v>
      </c>
      <c r="BK8" s="718">
        <v>2</v>
      </c>
      <c r="BL8" s="722">
        <v>240</v>
      </c>
      <c r="BM8" s="720">
        <v>3360</v>
      </c>
    </row>
    <row r="9" spans="1:65" ht="45" x14ac:dyDescent="0.25">
      <c r="A9" s="741" t="s">
        <v>382</v>
      </c>
      <c r="B9" s="729">
        <v>130</v>
      </c>
      <c r="C9" s="718">
        <v>0</v>
      </c>
      <c r="D9" s="719">
        <v>0</v>
      </c>
      <c r="E9" s="718"/>
      <c r="F9" s="719">
        <v>0</v>
      </c>
      <c r="G9" s="718"/>
      <c r="H9" s="719">
        <v>0</v>
      </c>
      <c r="I9" s="718"/>
      <c r="J9" s="719">
        <v>0</v>
      </c>
      <c r="K9" s="718"/>
      <c r="L9" s="719">
        <v>0</v>
      </c>
      <c r="M9" s="718">
        <v>1</v>
      </c>
      <c r="N9" s="720">
        <v>742.24</v>
      </c>
      <c r="O9" s="738">
        <v>742.24</v>
      </c>
      <c r="P9" s="737">
        <v>0</v>
      </c>
      <c r="Q9" s="720">
        <v>0</v>
      </c>
      <c r="R9" s="718">
        <v>0</v>
      </c>
      <c r="S9" s="720">
        <v>0</v>
      </c>
      <c r="T9" s="718">
        <v>5</v>
      </c>
      <c r="U9" s="720">
        <v>650</v>
      </c>
      <c r="V9" s="718">
        <v>5</v>
      </c>
      <c r="W9" s="720">
        <v>650</v>
      </c>
      <c r="X9" s="718">
        <v>5</v>
      </c>
      <c r="Y9" s="720">
        <v>650</v>
      </c>
      <c r="Z9" s="718">
        <v>5</v>
      </c>
      <c r="AA9" s="720">
        <v>650</v>
      </c>
      <c r="AB9" s="718">
        <v>5</v>
      </c>
      <c r="AC9" s="720">
        <v>650</v>
      </c>
      <c r="AD9" s="718">
        <v>5</v>
      </c>
      <c r="AE9" s="720">
        <v>650</v>
      </c>
      <c r="AF9" s="718">
        <v>6</v>
      </c>
      <c r="AG9" s="720">
        <v>780</v>
      </c>
      <c r="AH9" s="718">
        <v>6</v>
      </c>
      <c r="AI9" s="720">
        <v>780</v>
      </c>
      <c r="AJ9" s="718">
        <v>5</v>
      </c>
      <c r="AK9" s="720">
        <v>650</v>
      </c>
      <c r="AL9" s="718">
        <v>6</v>
      </c>
      <c r="AM9" s="720">
        <v>780</v>
      </c>
      <c r="AN9" s="738">
        <v>6890</v>
      </c>
      <c r="AO9" s="734">
        <v>5</v>
      </c>
      <c r="AP9" s="722">
        <v>650</v>
      </c>
      <c r="AQ9" s="718">
        <v>5</v>
      </c>
      <c r="AR9" s="722">
        <v>650</v>
      </c>
      <c r="AS9" s="718">
        <v>2</v>
      </c>
      <c r="AT9" s="722">
        <v>260</v>
      </c>
      <c r="AU9" s="718">
        <v>2</v>
      </c>
      <c r="AV9" s="722">
        <v>260</v>
      </c>
      <c r="AW9" s="718">
        <v>6</v>
      </c>
      <c r="AX9" s="722">
        <v>780</v>
      </c>
      <c r="AY9" s="718">
        <v>6</v>
      </c>
      <c r="AZ9" s="722">
        <v>780</v>
      </c>
      <c r="BA9" s="718">
        <v>5</v>
      </c>
      <c r="BB9" s="722">
        <v>650</v>
      </c>
      <c r="BC9" s="718">
        <v>5</v>
      </c>
      <c r="BD9" s="722">
        <v>650</v>
      </c>
      <c r="BE9" s="718">
        <v>5</v>
      </c>
      <c r="BF9" s="722">
        <v>650</v>
      </c>
      <c r="BG9" s="718">
        <v>4</v>
      </c>
      <c r="BH9" s="722">
        <v>520</v>
      </c>
      <c r="BI9" s="718">
        <v>4</v>
      </c>
      <c r="BJ9" s="722">
        <v>520</v>
      </c>
      <c r="BK9" s="718">
        <v>3</v>
      </c>
      <c r="BL9" s="722">
        <v>390</v>
      </c>
      <c r="BM9" s="720">
        <v>6760</v>
      </c>
    </row>
    <row r="10" spans="1:65" ht="30" x14ac:dyDescent="0.25">
      <c r="A10" s="741" t="s">
        <v>383</v>
      </c>
      <c r="B10" s="729">
        <v>130</v>
      </c>
      <c r="C10" s="718">
        <v>0</v>
      </c>
      <c r="D10" s="719">
        <v>0</v>
      </c>
      <c r="E10" s="718"/>
      <c r="F10" s="719">
        <v>0</v>
      </c>
      <c r="G10" s="718"/>
      <c r="H10" s="719">
        <v>0</v>
      </c>
      <c r="I10" s="718"/>
      <c r="J10" s="719">
        <v>0</v>
      </c>
      <c r="K10" s="718"/>
      <c r="L10" s="719">
        <v>0</v>
      </c>
      <c r="M10" s="718">
        <v>1</v>
      </c>
      <c r="N10" s="720">
        <v>690.59</v>
      </c>
      <c r="O10" s="738">
        <v>690.59</v>
      </c>
      <c r="P10" s="737">
        <v>4</v>
      </c>
      <c r="Q10" s="720">
        <v>520</v>
      </c>
      <c r="R10" s="718">
        <v>2</v>
      </c>
      <c r="S10" s="720">
        <v>260</v>
      </c>
      <c r="T10" s="718">
        <v>4</v>
      </c>
      <c r="U10" s="720">
        <v>520</v>
      </c>
      <c r="V10" s="718">
        <v>5</v>
      </c>
      <c r="W10" s="720">
        <v>650</v>
      </c>
      <c r="X10" s="718">
        <v>5</v>
      </c>
      <c r="Y10" s="720">
        <v>650</v>
      </c>
      <c r="Z10" s="718">
        <v>5</v>
      </c>
      <c r="AA10" s="720">
        <v>650</v>
      </c>
      <c r="AB10" s="718">
        <v>5</v>
      </c>
      <c r="AC10" s="720">
        <v>650</v>
      </c>
      <c r="AD10" s="718">
        <v>5</v>
      </c>
      <c r="AE10" s="720">
        <v>650</v>
      </c>
      <c r="AF10" s="718">
        <v>5</v>
      </c>
      <c r="AG10" s="720">
        <v>650</v>
      </c>
      <c r="AH10" s="718">
        <v>5</v>
      </c>
      <c r="AI10" s="720">
        <v>650</v>
      </c>
      <c r="AJ10" s="718">
        <v>5</v>
      </c>
      <c r="AK10" s="720">
        <v>650</v>
      </c>
      <c r="AL10" s="718">
        <v>5</v>
      </c>
      <c r="AM10" s="720">
        <v>650</v>
      </c>
      <c r="AN10" s="738">
        <v>7150</v>
      </c>
      <c r="AO10" s="734">
        <v>4</v>
      </c>
      <c r="AP10" s="722">
        <v>520</v>
      </c>
      <c r="AQ10" s="718">
        <v>4</v>
      </c>
      <c r="AR10" s="722">
        <v>520</v>
      </c>
      <c r="AS10" s="718">
        <v>4</v>
      </c>
      <c r="AT10" s="722">
        <v>520</v>
      </c>
      <c r="AU10" s="718">
        <v>2</v>
      </c>
      <c r="AV10" s="722">
        <v>260</v>
      </c>
      <c r="AW10" s="718">
        <v>4</v>
      </c>
      <c r="AX10" s="722">
        <v>520</v>
      </c>
      <c r="AY10" s="718">
        <v>4</v>
      </c>
      <c r="AZ10" s="722">
        <v>520</v>
      </c>
      <c r="BA10" s="718">
        <v>4</v>
      </c>
      <c r="BB10" s="722">
        <v>520</v>
      </c>
      <c r="BC10" s="718">
        <v>4</v>
      </c>
      <c r="BD10" s="722">
        <v>520</v>
      </c>
      <c r="BE10" s="718">
        <v>4</v>
      </c>
      <c r="BF10" s="722">
        <v>520</v>
      </c>
      <c r="BG10" s="718">
        <v>4</v>
      </c>
      <c r="BH10" s="722">
        <v>520</v>
      </c>
      <c r="BI10" s="718">
        <v>4</v>
      </c>
      <c r="BJ10" s="722">
        <v>520</v>
      </c>
      <c r="BK10" s="718">
        <v>4</v>
      </c>
      <c r="BL10" s="722">
        <v>520</v>
      </c>
      <c r="BM10" s="720">
        <v>5980</v>
      </c>
    </row>
    <row r="11" spans="1:65" ht="60" x14ac:dyDescent="0.25">
      <c r="A11" s="741" t="s">
        <v>384</v>
      </c>
      <c r="B11" s="729">
        <v>130</v>
      </c>
      <c r="C11" s="718">
        <v>0</v>
      </c>
      <c r="D11" s="719">
        <v>0</v>
      </c>
      <c r="E11" s="718"/>
      <c r="F11" s="719">
        <v>0</v>
      </c>
      <c r="G11" s="718"/>
      <c r="H11" s="719">
        <v>0</v>
      </c>
      <c r="I11" s="718"/>
      <c r="J11" s="719">
        <v>0</v>
      </c>
      <c r="K11" s="718"/>
      <c r="L11" s="719">
        <v>0</v>
      </c>
      <c r="M11" s="718">
        <v>1</v>
      </c>
      <c r="N11" s="720">
        <v>116.6</v>
      </c>
      <c r="O11" s="738">
        <v>116.6</v>
      </c>
      <c r="P11" s="737">
        <v>0</v>
      </c>
      <c r="Q11" s="720">
        <v>0</v>
      </c>
      <c r="R11" s="718">
        <v>0</v>
      </c>
      <c r="S11" s="720">
        <v>0</v>
      </c>
      <c r="T11" s="718">
        <v>2</v>
      </c>
      <c r="U11" s="720">
        <v>260</v>
      </c>
      <c r="V11" s="718">
        <v>2</v>
      </c>
      <c r="W11" s="720">
        <v>260</v>
      </c>
      <c r="X11" s="718">
        <v>2</v>
      </c>
      <c r="Y11" s="720">
        <v>260</v>
      </c>
      <c r="Z11" s="718">
        <v>2</v>
      </c>
      <c r="AA11" s="720">
        <v>260</v>
      </c>
      <c r="AB11" s="718">
        <v>2</v>
      </c>
      <c r="AC11" s="720">
        <v>260</v>
      </c>
      <c r="AD11" s="718">
        <v>2</v>
      </c>
      <c r="AE11" s="720">
        <v>260</v>
      </c>
      <c r="AF11" s="718">
        <v>2</v>
      </c>
      <c r="AG11" s="720">
        <v>260</v>
      </c>
      <c r="AH11" s="718">
        <v>2</v>
      </c>
      <c r="AI11" s="720">
        <v>260</v>
      </c>
      <c r="AJ11" s="718">
        <v>2</v>
      </c>
      <c r="AK11" s="720">
        <v>260</v>
      </c>
      <c r="AL11" s="718">
        <v>2</v>
      </c>
      <c r="AM11" s="720">
        <v>260</v>
      </c>
      <c r="AN11" s="738">
        <v>2600</v>
      </c>
      <c r="AO11" s="734">
        <v>2</v>
      </c>
      <c r="AP11" s="722">
        <v>260</v>
      </c>
      <c r="AQ11" s="718">
        <v>2</v>
      </c>
      <c r="AR11" s="722">
        <v>260</v>
      </c>
      <c r="AS11" s="718">
        <v>1</v>
      </c>
      <c r="AT11" s="722">
        <v>130</v>
      </c>
      <c r="AU11" s="718">
        <v>1</v>
      </c>
      <c r="AV11" s="722">
        <v>130</v>
      </c>
      <c r="AW11" s="718">
        <v>2</v>
      </c>
      <c r="AX11" s="722">
        <v>260</v>
      </c>
      <c r="AY11" s="718">
        <v>2</v>
      </c>
      <c r="AZ11" s="722">
        <v>260</v>
      </c>
      <c r="BA11" s="718">
        <v>2</v>
      </c>
      <c r="BB11" s="722">
        <v>260</v>
      </c>
      <c r="BC11" s="718">
        <v>2</v>
      </c>
      <c r="BD11" s="722">
        <v>260</v>
      </c>
      <c r="BE11" s="718">
        <v>2</v>
      </c>
      <c r="BF11" s="722">
        <v>260</v>
      </c>
      <c r="BG11" s="718">
        <v>2</v>
      </c>
      <c r="BH11" s="722">
        <v>260</v>
      </c>
      <c r="BI11" s="718">
        <v>2</v>
      </c>
      <c r="BJ11" s="722">
        <v>260</v>
      </c>
      <c r="BK11" s="718">
        <v>2</v>
      </c>
      <c r="BL11" s="722">
        <v>260</v>
      </c>
      <c r="BM11" s="720">
        <v>2860</v>
      </c>
    </row>
    <row r="12" spans="1:65" ht="60" x14ac:dyDescent="0.25">
      <c r="A12" s="741" t="s">
        <v>574</v>
      </c>
      <c r="B12" s="729">
        <v>130</v>
      </c>
      <c r="C12" s="718">
        <v>0</v>
      </c>
      <c r="D12" s="719">
        <v>0</v>
      </c>
      <c r="E12" s="718"/>
      <c r="F12" s="719">
        <v>0</v>
      </c>
      <c r="G12" s="718"/>
      <c r="H12" s="719">
        <v>0</v>
      </c>
      <c r="I12" s="718"/>
      <c r="J12" s="719">
        <v>0</v>
      </c>
      <c r="K12" s="718"/>
      <c r="L12" s="719">
        <v>0</v>
      </c>
      <c r="M12" s="718"/>
      <c r="N12" s="720">
        <v>0</v>
      </c>
      <c r="O12" s="738">
        <v>0</v>
      </c>
      <c r="P12" s="737">
        <v>0</v>
      </c>
      <c r="Q12" s="720">
        <v>0</v>
      </c>
      <c r="R12" s="718">
        <v>0</v>
      </c>
      <c r="S12" s="720">
        <v>0</v>
      </c>
      <c r="T12" s="718">
        <v>0</v>
      </c>
      <c r="U12" s="720">
        <v>0</v>
      </c>
      <c r="V12" s="718">
        <v>1</v>
      </c>
      <c r="W12" s="720">
        <v>130</v>
      </c>
      <c r="X12" s="718">
        <v>1</v>
      </c>
      <c r="Y12" s="720">
        <v>130</v>
      </c>
      <c r="Z12" s="718">
        <v>1</v>
      </c>
      <c r="AA12" s="720">
        <v>130</v>
      </c>
      <c r="AB12" s="718">
        <v>1</v>
      </c>
      <c r="AC12" s="720">
        <v>130</v>
      </c>
      <c r="AD12" s="718">
        <v>1</v>
      </c>
      <c r="AE12" s="720">
        <v>130</v>
      </c>
      <c r="AF12" s="718">
        <v>1</v>
      </c>
      <c r="AG12" s="720">
        <v>130</v>
      </c>
      <c r="AH12" s="718">
        <v>1</v>
      </c>
      <c r="AI12" s="720">
        <v>130</v>
      </c>
      <c r="AJ12" s="718">
        <v>1</v>
      </c>
      <c r="AK12" s="720">
        <v>130</v>
      </c>
      <c r="AL12" s="718">
        <v>1</v>
      </c>
      <c r="AM12" s="720">
        <v>130</v>
      </c>
      <c r="AN12" s="738">
        <v>1170</v>
      </c>
      <c r="AO12" s="734">
        <v>1</v>
      </c>
      <c r="AP12" s="722">
        <v>130</v>
      </c>
      <c r="AQ12" s="718">
        <v>1</v>
      </c>
      <c r="AR12" s="722">
        <v>130</v>
      </c>
      <c r="AS12" s="718">
        <v>1</v>
      </c>
      <c r="AT12" s="722">
        <v>130</v>
      </c>
      <c r="AU12" s="718">
        <v>1</v>
      </c>
      <c r="AV12" s="722">
        <v>130</v>
      </c>
      <c r="AW12" s="718">
        <v>1</v>
      </c>
      <c r="AX12" s="722">
        <v>130</v>
      </c>
      <c r="AY12" s="718">
        <v>1</v>
      </c>
      <c r="AZ12" s="722">
        <v>130</v>
      </c>
      <c r="BA12" s="718">
        <v>1</v>
      </c>
      <c r="BB12" s="722">
        <v>130</v>
      </c>
      <c r="BC12" s="718">
        <v>1</v>
      </c>
      <c r="BD12" s="722">
        <v>130</v>
      </c>
      <c r="BE12" s="718">
        <v>1</v>
      </c>
      <c r="BF12" s="722">
        <v>130</v>
      </c>
      <c r="BG12" s="718">
        <v>1</v>
      </c>
      <c r="BH12" s="722">
        <v>130</v>
      </c>
      <c r="BI12" s="718">
        <v>1</v>
      </c>
      <c r="BJ12" s="722">
        <v>130</v>
      </c>
      <c r="BK12" s="718">
        <v>1</v>
      </c>
      <c r="BL12" s="722">
        <v>130</v>
      </c>
      <c r="BM12" s="720">
        <v>1560</v>
      </c>
    </row>
    <row r="13" spans="1:65" ht="30" x14ac:dyDescent="0.25">
      <c r="A13" s="741" t="s">
        <v>386</v>
      </c>
      <c r="B13" s="729">
        <v>80</v>
      </c>
      <c r="C13" s="718">
        <v>0</v>
      </c>
      <c r="D13" s="719">
        <v>0</v>
      </c>
      <c r="E13" s="718"/>
      <c r="F13" s="719">
        <v>0</v>
      </c>
      <c r="G13" s="718"/>
      <c r="H13" s="719">
        <v>0</v>
      </c>
      <c r="I13" s="718"/>
      <c r="J13" s="719">
        <v>0</v>
      </c>
      <c r="K13" s="718"/>
      <c r="L13" s="719">
        <v>0</v>
      </c>
      <c r="M13" s="718"/>
      <c r="N13" s="720">
        <v>0</v>
      </c>
      <c r="O13" s="738">
        <v>0</v>
      </c>
      <c r="P13" s="737">
        <v>0</v>
      </c>
      <c r="Q13" s="720">
        <v>0</v>
      </c>
      <c r="R13" s="718">
        <v>0</v>
      </c>
      <c r="S13" s="720">
        <v>0</v>
      </c>
      <c r="T13" s="718">
        <v>3</v>
      </c>
      <c r="U13" s="720">
        <v>240</v>
      </c>
      <c r="V13" s="718">
        <v>3</v>
      </c>
      <c r="W13" s="720">
        <v>240</v>
      </c>
      <c r="X13" s="718">
        <v>3</v>
      </c>
      <c r="Y13" s="720">
        <v>240</v>
      </c>
      <c r="Z13" s="718">
        <v>3</v>
      </c>
      <c r="AA13" s="720">
        <v>240</v>
      </c>
      <c r="AB13" s="718">
        <v>3</v>
      </c>
      <c r="AC13" s="720">
        <v>240</v>
      </c>
      <c r="AD13" s="718">
        <v>3</v>
      </c>
      <c r="AE13" s="720">
        <v>240</v>
      </c>
      <c r="AF13" s="718">
        <v>3</v>
      </c>
      <c r="AG13" s="720">
        <v>240</v>
      </c>
      <c r="AH13" s="718">
        <v>3</v>
      </c>
      <c r="AI13" s="720">
        <v>240</v>
      </c>
      <c r="AJ13" s="718">
        <v>3</v>
      </c>
      <c r="AK13" s="720">
        <v>240</v>
      </c>
      <c r="AL13" s="718">
        <v>2</v>
      </c>
      <c r="AM13" s="720">
        <v>160</v>
      </c>
      <c r="AN13" s="738">
        <v>2320</v>
      </c>
      <c r="AO13" s="734">
        <v>5</v>
      </c>
      <c r="AP13" s="722">
        <v>400</v>
      </c>
      <c r="AQ13" s="718">
        <v>5</v>
      </c>
      <c r="AR13" s="722">
        <v>400</v>
      </c>
      <c r="AS13" s="718">
        <v>1</v>
      </c>
      <c r="AT13" s="722">
        <v>80</v>
      </c>
      <c r="AU13" s="718">
        <v>1</v>
      </c>
      <c r="AV13" s="722">
        <v>80</v>
      </c>
      <c r="AW13" s="718">
        <v>4</v>
      </c>
      <c r="AX13" s="722">
        <v>320</v>
      </c>
      <c r="AY13" s="718">
        <v>4</v>
      </c>
      <c r="AZ13" s="722">
        <v>320</v>
      </c>
      <c r="BA13" s="718">
        <v>4</v>
      </c>
      <c r="BB13" s="722">
        <v>320</v>
      </c>
      <c r="BC13" s="718">
        <v>4</v>
      </c>
      <c r="BD13" s="722">
        <v>320</v>
      </c>
      <c r="BE13" s="718">
        <v>4</v>
      </c>
      <c r="BF13" s="722">
        <v>320</v>
      </c>
      <c r="BG13" s="718">
        <v>4</v>
      </c>
      <c r="BH13" s="722">
        <v>320</v>
      </c>
      <c r="BI13" s="718">
        <v>4</v>
      </c>
      <c r="BJ13" s="722">
        <v>320</v>
      </c>
      <c r="BK13" s="718">
        <v>4</v>
      </c>
      <c r="BL13" s="722">
        <v>320</v>
      </c>
      <c r="BM13" s="720">
        <v>3520</v>
      </c>
    </row>
    <row r="14" spans="1:65" ht="75" x14ac:dyDescent="0.25">
      <c r="A14" s="741" t="s">
        <v>388</v>
      </c>
      <c r="B14" s="729">
        <v>80</v>
      </c>
      <c r="C14" s="718">
        <v>0</v>
      </c>
      <c r="D14" s="719">
        <v>0</v>
      </c>
      <c r="E14" s="718"/>
      <c r="F14" s="719">
        <v>0</v>
      </c>
      <c r="G14" s="718"/>
      <c r="H14" s="719">
        <v>0</v>
      </c>
      <c r="I14" s="718"/>
      <c r="J14" s="719">
        <v>0</v>
      </c>
      <c r="K14" s="718"/>
      <c r="L14" s="719">
        <v>0</v>
      </c>
      <c r="M14" s="718"/>
      <c r="N14" s="720">
        <v>0</v>
      </c>
      <c r="O14" s="738">
        <v>0</v>
      </c>
      <c r="P14" s="737">
        <v>0</v>
      </c>
      <c r="Q14" s="720">
        <v>0</v>
      </c>
      <c r="R14" s="718">
        <v>0</v>
      </c>
      <c r="S14" s="720">
        <v>0</v>
      </c>
      <c r="T14" s="718">
        <v>0</v>
      </c>
      <c r="U14" s="720">
        <v>0</v>
      </c>
      <c r="V14" s="718">
        <v>0</v>
      </c>
      <c r="W14" s="720">
        <v>0</v>
      </c>
      <c r="X14" s="718">
        <v>0</v>
      </c>
      <c r="Y14" s="720">
        <v>0</v>
      </c>
      <c r="Z14" s="718">
        <v>0</v>
      </c>
      <c r="AA14" s="720">
        <v>0</v>
      </c>
      <c r="AB14" s="718">
        <v>0</v>
      </c>
      <c r="AC14" s="720">
        <v>0</v>
      </c>
      <c r="AD14" s="718">
        <v>0</v>
      </c>
      <c r="AE14" s="720">
        <v>0</v>
      </c>
      <c r="AF14" s="718">
        <v>0</v>
      </c>
      <c r="AG14" s="720">
        <v>0</v>
      </c>
      <c r="AH14" s="718">
        <v>0</v>
      </c>
      <c r="AI14" s="720">
        <v>0</v>
      </c>
      <c r="AJ14" s="718">
        <v>0</v>
      </c>
      <c r="AK14" s="720">
        <v>0</v>
      </c>
      <c r="AL14" s="718">
        <v>0</v>
      </c>
      <c r="AM14" s="720">
        <v>0</v>
      </c>
      <c r="AN14" s="738">
        <v>0</v>
      </c>
      <c r="AO14" s="734">
        <v>6</v>
      </c>
      <c r="AP14" s="722">
        <v>480</v>
      </c>
      <c r="AQ14" s="718">
        <v>6</v>
      </c>
      <c r="AR14" s="722">
        <v>480</v>
      </c>
      <c r="AS14" s="718">
        <v>6</v>
      </c>
      <c r="AT14" s="722">
        <v>480</v>
      </c>
      <c r="AU14" s="718">
        <v>6</v>
      </c>
      <c r="AV14" s="722">
        <v>480</v>
      </c>
      <c r="AW14" s="718">
        <v>6</v>
      </c>
      <c r="AX14" s="722">
        <v>480</v>
      </c>
      <c r="AY14" s="718">
        <v>6</v>
      </c>
      <c r="AZ14" s="722">
        <v>480</v>
      </c>
      <c r="BA14" s="718">
        <v>6</v>
      </c>
      <c r="BB14" s="722">
        <v>480</v>
      </c>
      <c r="BC14" s="718">
        <v>6</v>
      </c>
      <c r="BD14" s="722">
        <v>480</v>
      </c>
      <c r="BE14" s="718">
        <v>6</v>
      </c>
      <c r="BF14" s="722">
        <v>480</v>
      </c>
      <c r="BG14" s="718">
        <v>6</v>
      </c>
      <c r="BH14" s="722">
        <v>480</v>
      </c>
      <c r="BI14" s="718">
        <v>6</v>
      </c>
      <c r="BJ14" s="722">
        <v>480</v>
      </c>
      <c r="BK14" s="718">
        <v>6</v>
      </c>
      <c r="BL14" s="722">
        <v>480</v>
      </c>
      <c r="BM14" s="720">
        <v>5760</v>
      </c>
    </row>
    <row r="15" spans="1:65" ht="60" x14ac:dyDescent="0.25">
      <c r="A15" s="741" t="s">
        <v>575</v>
      </c>
      <c r="B15" s="729">
        <v>80</v>
      </c>
      <c r="C15" s="718">
        <v>0</v>
      </c>
      <c r="D15" s="719">
        <v>0</v>
      </c>
      <c r="E15" s="718"/>
      <c r="F15" s="719">
        <v>0</v>
      </c>
      <c r="G15" s="718"/>
      <c r="H15" s="719">
        <v>0</v>
      </c>
      <c r="I15" s="718"/>
      <c r="J15" s="719">
        <v>0</v>
      </c>
      <c r="K15" s="718"/>
      <c r="L15" s="719">
        <v>0</v>
      </c>
      <c r="M15" s="718"/>
      <c r="N15" s="720">
        <v>0</v>
      </c>
      <c r="O15" s="738">
        <v>0</v>
      </c>
      <c r="P15" s="737">
        <v>0</v>
      </c>
      <c r="Q15" s="720">
        <v>0</v>
      </c>
      <c r="R15" s="718">
        <v>0</v>
      </c>
      <c r="S15" s="720">
        <v>0</v>
      </c>
      <c r="T15" s="718">
        <v>0</v>
      </c>
      <c r="U15" s="720">
        <v>0</v>
      </c>
      <c r="V15" s="718">
        <v>0</v>
      </c>
      <c r="W15" s="720">
        <v>0</v>
      </c>
      <c r="X15" s="718">
        <v>1</v>
      </c>
      <c r="Y15" s="720">
        <v>80</v>
      </c>
      <c r="Z15" s="718"/>
      <c r="AA15" s="720">
        <v>0</v>
      </c>
      <c r="AB15" s="718"/>
      <c r="AC15" s="720">
        <v>0</v>
      </c>
      <c r="AD15" s="718"/>
      <c r="AE15" s="720">
        <v>0</v>
      </c>
      <c r="AF15" s="718">
        <v>1</v>
      </c>
      <c r="AG15" s="720">
        <v>80</v>
      </c>
      <c r="AH15" s="718">
        <v>1</v>
      </c>
      <c r="AI15" s="720">
        <v>80</v>
      </c>
      <c r="AJ15" s="718">
        <v>1</v>
      </c>
      <c r="AK15" s="720">
        <v>80</v>
      </c>
      <c r="AL15" s="718"/>
      <c r="AM15" s="720">
        <v>0</v>
      </c>
      <c r="AN15" s="738">
        <v>320</v>
      </c>
      <c r="AO15" s="734">
        <v>0</v>
      </c>
      <c r="AP15" s="722">
        <v>0</v>
      </c>
      <c r="AQ15" s="718">
        <v>2</v>
      </c>
      <c r="AR15" s="722">
        <v>160</v>
      </c>
      <c r="AS15" s="718">
        <v>0</v>
      </c>
      <c r="AT15" s="722">
        <v>0</v>
      </c>
      <c r="AU15" s="718">
        <v>0</v>
      </c>
      <c r="AV15" s="722">
        <v>0</v>
      </c>
      <c r="AW15" s="718">
        <v>0</v>
      </c>
      <c r="AX15" s="722">
        <v>0</v>
      </c>
      <c r="AY15" s="718">
        <v>2</v>
      </c>
      <c r="AZ15" s="722">
        <v>160</v>
      </c>
      <c r="BA15" s="718"/>
      <c r="BB15" s="722">
        <v>0</v>
      </c>
      <c r="BC15" s="718">
        <v>0</v>
      </c>
      <c r="BD15" s="722">
        <v>0</v>
      </c>
      <c r="BE15" s="718">
        <v>0</v>
      </c>
      <c r="BF15" s="722">
        <v>0</v>
      </c>
      <c r="BG15" s="718"/>
      <c r="BH15" s="722">
        <v>0</v>
      </c>
      <c r="BI15" s="718"/>
      <c r="BJ15" s="722">
        <v>0</v>
      </c>
      <c r="BK15" s="718">
        <v>2</v>
      </c>
      <c r="BL15" s="722">
        <v>160</v>
      </c>
      <c r="BM15" s="720">
        <v>480</v>
      </c>
    </row>
    <row r="16" spans="1:65" ht="45" x14ac:dyDescent="0.25">
      <c r="A16" s="741" t="s">
        <v>576</v>
      </c>
      <c r="B16" s="729">
        <v>80</v>
      </c>
      <c r="C16" s="718"/>
      <c r="D16" s="719"/>
      <c r="E16" s="718"/>
      <c r="F16" s="719"/>
      <c r="G16" s="718"/>
      <c r="H16" s="719"/>
      <c r="I16" s="718"/>
      <c r="J16" s="719"/>
      <c r="K16" s="718"/>
      <c r="L16" s="719"/>
      <c r="M16" s="718"/>
      <c r="N16" s="720">
        <v>0</v>
      </c>
      <c r="O16" s="738">
        <v>0</v>
      </c>
      <c r="P16" s="737">
        <v>0</v>
      </c>
      <c r="Q16" s="720">
        <v>0</v>
      </c>
      <c r="R16" s="718">
        <v>0</v>
      </c>
      <c r="S16" s="720">
        <v>0</v>
      </c>
      <c r="T16" s="718">
        <v>0</v>
      </c>
      <c r="U16" s="720">
        <v>0</v>
      </c>
      <c r="V16" s="718">
        <v>0</v>
      </c>
      <c r="W16" s="720">
        <v>0</v>
      </c>
      <c r="X16" s="718">
        <v>4</v>
      </c>
      <c r="Y16" s="720">
        <v>320</v>
      </c>
      <c r="Z16" s="718">
        <v>5</v>
      </c>
      <c r="AA16" s="720">
        <v>400</v>
      </c>
      <c r="AB16" s="718">
        <v>5</v>
      </c>
      <c r="AC16" s="720">
        <v>400</v>
      </c>
      <c r="AD16" s="718">
        <v>4</v>
      </c>
      <c r="AE16" s="720">
        <v>320</v>
      </c>
      <c r="AF16" s="718">
        <v>4</v>
      </c>
      <c r="AG16" s="720">
        <v>320</v>
      </c>
      <c r="AH16" s="718">
        <v>4</v>
      </c>
      <c r="AI16" s="720">
        <v>320</v>
      </c>
      <c r="AJ16" s="718">
        <v>4</v>
      </c>
      <c r="AK16" s="720">
        <v>320</v>
      </c>
      <c r="AL16" s="718">
        <v>4</v>
      </c>
      <c r="AM16" s="720">
        <v>292.97000000000003</v>
      </c>
      <c r="AN16" s="738">
        <v>2692.9700000000003</v>
      </c>
      <c r="AO16" s="734">
        <v>4</v>
      </c>
      <c r="AP16" s="722">
        <v>320</v>
      </c>
      <c r="AQ16" s="718">
        <v>4</v>
      </c>
      <c r="AR16" s="722">
        <v>320</v>
      </c>
      <c r="AS16" s="718">
        <v>4</v>
      </c>
      <c r="AT16" s="722">
        <v>320</v>
      </c>
      <c r="AU16" s="718">
        <v>4</v>
      </c>
      <c r="AV16" s="722">
        <v>320</v>
      </c>
      <c r="AW16" s="718">
        <v>4</v>
      </c>
      <c r="AX16" s="722">
        <v>320</v>
      </c>
      <c r="AY16" s="718">
        <v>4</v>
      </c>
      <c r="AZ16" s="722">
        <v>320</v>
      </c>
      <c r="BA16" s="718">
        <v>4</v>
      </c>
      <c r="BB16" s="722">
        <v>320</v>
      </c>
      <c r="BC16" s="718">
        <v>4</v>
      </c>
      <c r="BD16" s="722">
        <v>320</v>
      </c>
      <c r="BE16" s="718">
        <v>2</v>
      </c>
      <c r="BF16" s="722">
        <v>160</v>
      </c>
      <c r="BG16" s="718">
        <v>2</v>
      </c>
      <c r="BH16" s="722">
        <v>160</v>
      </c>
      <c r="BI16" s="718">
        <v>3</v>
      </c>
      <c r="BJ16" s="722">
        <v>240</v>
      </c>
      <c r="BK16" s="718">
        <v>3</v>
      </c>
      <c r="BL16" s="722">
        <v>240</v>
      </c>
      <c r="BM16" s="720">
        <v>3360</v>
      </c>
    </row>
    <row r="17" spans="1:65" ht="30" x14ac:dyDescent="0.25">
      <c r="A17" s="741" t="s">
        <v>577</v>
      </c>
      <c r="B17" s="729">
        <v>130</v>
      </c>
      <c r="C17" s="718"/>
      <c r="D17" s="719"/>
      <c r="E17" s="718"/>
      <c r="F17" s="719"/>
      <c r="G17" s="718"/>
      <c r="H17" s="719"/>
      <c r="I17" s="718"/>
      <c r="J17" s="719"/>
      <c r="K17" s="718"/>
      <c r="L17" s="719"/>
      <c r="M17" s="718"/>
      <c r="N17" s="720">
        <v>0</v>
      </c>
      <c r="O17" s="738"/>
      <c r="P17" s="737">
        <v>0</v>
      </c>
      <c r="Q17" s="720">
        <v>0</v>
      </c>
      <c r="R17" s="718">
        <v>0</v>
      </c>
      <c r="S17" s="720">
        <v>0</v>
      </c>
      <c r="T17" s="718">
        <v>0</v>
      </c>
      <c r="U17" s="720">
        <v>0</v>
      </c>
      <c r="V17" s="718">
        <v>1</v>
      </c>
      <c r="W17" s="720">
        <v>130</v>
      </c>
      <c r="X17" s="718">
        <v>1</v>
      </c>
      <c r="Y17" s="720">
        <v>130</v>
      </c>
      <c r="Z17" s="718">
        <v>1</v>
      </c>
      <c r="AA17" s="720">
        <v>130</v>
      </c>
      <c r="AB17" s="718">
        <v>1</v>
      </c>
      <c r="AC17" s="720">
        <v>130</v>
      </c>
      <c r="AD17" s="718">
        <v>1</v>
      </c>
      <c r="AE17" s="720">
        <v>130</v>
      </c>
      <c r="AF17" s="718">
        <v>1</v>
      </c>
      <c r="AG17" s="720">
        <v>130</v>
      </c>
      <c r="AH17" s="718">
        <v>1</v>
      </c>
      <c r="AI17" s="720">
        <v>130</v>
      </c>
      <c r="AJ17" s="718">
        <v>1</v>
      </c>
      <c r="AK17" s="720">
        <v>130</v>
      </c>
      <c r="AL17" s="718">
        <v>1</v>
      </c>
      <c r="AM17" s="720">
        <v>130</v>
      </c>
      <c r="AN17" s="738">
        <v>1170</v>
      </c>
      <c r="AO17" s="734">
        <v>1</v>
      </c>
      <c r="AP17" s="722">
        <v>130</v>
      </c>
      <c r="AQ17" s="718">
        <v>1</v>
      </c>
      <c r="AR17" s="722">
        <v>130</v>
      </c>
      <c r="AS17" s="718">
        <v>1</v>
      </c>
      <c r="AT17" s="722">
        <v>130</v>
      </c>
      <c r="AU17" s="718">
        <v>0</v>
      </c>
      <c r="AV17" s="722">
        <v>0</v>
      </c>
      <c r="AW17" s="718">
        <v>0</v>
      </c>
      <c r="AX17" s="722">
        <v>0</v>
      </c>
      <c r="AY17" s="718">
        <v>0</v>
      </c>
      <c r="AZ17" s="722">
        <v>0</v>
      </c>
      <c r="BA17" s="718">
        <v>0</v>
      </c>
      <c r="BB17" s="722">
        <v>0</v>
      </c>
      <c r="BC17" s="718">
        <v>0</v>
      </c>
      <c r="BD17" s="722">
        <v>0</v>
      </c>
      <c r="BE17" s="718">
        <v>0</v>
      </c>
      <c r="BF17" s="722">
        <v>0</v>
      </c>
      <c r="BG17" s="718">
        <v>0</v>
      </c>
      <c r="BH17" s="722">
        <v>0</v>
      </c>
      <c r="BI17" s="718">
        <v>0</v>
      </c>
      <c r="BJ17" s="722">
        <v>0</v>
      </c>
      <c r="BK17" s="718">
        <v>0</v>
      </c>
      <c r="BL17" s="722">
        <v>0</v>
      </c>
      <c r="BM17" s="720">
        <v>390</v>
      </c>
    </row>
    <row r="18" spans="1:65" ht="15.75" thickBot="1" x14ac:dyDescent="0.3">
      <c r="A18" s="742"/>
      <c r="B18" s="743"/>
      <c r="C18" s="744"/>
      <c r="D18" s="745">
        <v>0</v>
      </c>
      <c r="E18" s="744"/>
      <c r="F18" s="745">
        <v>0</v>
      </c>
      <c r="G18" s="744"/>
      <c r="H18" s="745">
        <v>0</v>
      </c>
      <c r="I18" s="744"/>
      <c r="J18" s="745">
        <v>0</v>
      </c>
      <c r="K18" s="744"/>
      <c r="L18" s="745">
        <v>0</v>
      </c>
      <c r="M18" s="731"/>
      <c r="N18" s="731">
        <v>1767.03</v>
      </c>
      <c r="O18" s="739">
        <v>1767.03</v>
      </c>
      <c r="P18" s="730"/>
      <c r="Q18" s="731">
        <v>520</v>
      </c>
      <c r="R18" s="731"/>
      <c r="S18" s="731">
        <v>260</v>
      </c>
      <c r="T18" s="731"/>
      <c r="U18" s="731">
        <v>2030</v>
      </c>
      <c r="V18" s="731"/>
      <c r="W18" s="731">
        <v>2420</v>
      </c>
      <c r="X18" s="731"/>
      <c r="Y18" s="731">
        <v>2980</v>
      </c>
      <c r="Z18" s="731"/>
      <c r="AA18" s="731">
        <v>2980</v>
      </c>
      <c r="AB18" s="731"/>
      <c r="AC18" s="731">
        <v>2980</v>
      </c>
      <c r="AD18" s="731"/>
      <c r="AE18" s="731">
        <v>2900</v>
      </c>
      <c r="AF18" s="731"/>
      <c r="AG18" s="731">
        <v>3110</v>
      </c>
      <c r="AH18" s="731"/>
      <c r="AI18" s="731">
        <v>3110</v>
      </c>
      <c r="AJ18" s="731"/>
      <c r="AK18" s="731">
        <v>2980</v>
      </c>
      <c r="AL18" s="731"/>
      <c r="AM18" s="731">
        <v>2922.9700000000003</v>
      </c>
      <c r="AN18" s="739">
        <v>29192.97</v>
      </c>
      <c r="AO18" s="735"/>
      <c r="AP18" s="721">
        <v>3410</v>
      </c>
      <c r="AQ18" s="721"/>
      <c r="AR18" s="721">
        <v>3450</v>
      </c>
      <c r="AS18" s="721"/>
      <c r="AT18" s="721">
        <v>2330</v>
      </c>
      <c r="AU18" s="721"/>
      <c r="AV18" s="721">
        <v>1940</v>
      </c>
      <c r="AW18" s="721"/>
      <c r="AX18" s="721">
        <v>3330</v>
      </c>
      <c r="AY18" s="721"/>
      <c r="AZ18" s="721">
        <v>3490</v>
      </c>
      <c r="BA18" s="721"/>
      <c r="BB18" s="721">
        <v>3200</v>
      </c>
      <c r="BC18" s="721"/>
      <c r="BD18" s="721">
        <v>3200</v>
      </c>
      <c r="BE18" s="721"/>
      <c r="BF18" s="721">
        <v>3040</v>
      </c>
      <c r="BG18" s="721"/>
      <c r="BH18" s="721">
        <v>2790</v>
      </c>
      <c r="BI18" s="721"/>
      <c r="BJ18" s="721">
        <v>2870</v>
      </c>
      <c r="BK18" s="721"/>
      <c r="BL18" s="721">
        <v>2900</v>
      </c>
      <c r="BM18" s="721">
        <v>35950</v>
      </c>
    </row>
    <row r="19" spans="1:65" x14ac:dyDescent="0.25">
      <c r="A19" s="727" t="s">
        <v>578</v>
      </c>
      <c r="B19" s="716"/>
      <c r="C19" s="716"/>
      <c r="D19" s="716"/>
      <c r="E19" s="716"/>
      <c r="F19" s="716"/>
      <c r="G19" s="716"/>
      <c r="H19" s="716"/>
      <c r="I19" s="716"/>
      <c r="J19" s="716"/>
      <c r="K19" s="716"/>
      <c r="L19" s="716"/>
      <c r="M19" s="716"/>
      <c r="N19" s="716"/>
      <c r="O19" s="716"/>
      <c r="P19" s="716"/>
      <c r="Q19" s="716"/>
      <c r="R19" s="716"/>
      <c r="S19" s="716"/>
      <c r="T19" s="716"/>
      <c r="U19" s="716"/>
      <c r="V19" s="716"/>
      <c r="W19" s="716"/>
      <c r="X19" s="716"/>
      <c r="Y19" s="716"/>
      <c r="Z19" s="716"/>
      <c r="AA19" s="716"/>
      <c r="AB19" s="716"/>
      <c r="AC19" s="716"/>
      <c r="AD19" s="716"/>
      <c r="AE19" s="716"/>
      <c r="AF19" s="716"/>
      <c r="AG19" s="716"/>
      <c r="AH19" s="716"/>
      <c r="AI19" s="716"/>
      <c r="AJ19" s="716"/>
      <c r="AK19" s="716"/>
      <c r="AL19" s="716"/>
      <c r="AM19" s="716"/>
      <c r="AN19" s="716"/>
      <c r="AO19" s="716"/>
      <c r="AP19" s="716"/>
      <c r="AQ19" s="716"/>
      <c r="AR19" s="716"/>
      <c r="AS19" s="716"/>
      <c r="AT19" s="716"/>
      <c r="AU19" s="716"/>
      <c r="AV19" s="716"/>
      <c r="AW19" s="716"/>
      <c r="AX19" s="716"/>
      <c r="AY19" s="716"/>
      <c r="AZ19" s="716"/>
      <c r="BA19" s="716"/>
      <c r="BB19" s="716"/>
      <c r="BC19" s="716"/>
      <c r="BD19" s="716"/>
      <c r="BE19" s="716"/>
      <c r="BF19" s="716"/>
      <c r="BG19" s="716"/>
      <c r="BH19" s="716"/>
      <c r="BI19" s="716"/>
      <c r="BJ19" s="716"/>
      <c r="BK19" s="716"/>
      <c r="BL19" s="716"/>
      <c r="BM19" s="716"/>
    </row>
    <row r="20" spans="1:65" x14ac:dyDescent="0.25">
      <c r="A20" s="723" t="s">
        <v>392</v>
      </c>
      <c r="B20" s="716"/>
      <c r="C20" s="716"/>
      <c r="D20" s="716"/>
      <c r="E20" s="716"/>
      <c r="F20" s="716"/>
      <c r="G20" s="716"/>
      <c r="H20" s="716"/>
      <c r="I20" s="716"/>
      <c r="J20" s="716"/>
      <c r="K20" s="716"/>
      <c r="L20" s="716"/>
      <c r="M20" s="716"/>
      <c r="N20" s="716"/>
      <c r="O20" s="716"/>
      <c r="P20" s="716"/>
      <c r="Q20" s="716"/>
      <c r="R20" s="716"/>
      <c r="S20" s="716"/>
      <c r="T20" s="716"/>
      <c r="U20" s="716"/>
      <c r="V20" s="716"/>
      <c r="W20" s="716"/>
      <c r="X20" s="716"/>
      <c r="Y20" s="716"/>
      <c r="Z20" s="716"/>
      <c r="AA20" s="716"/>
      <c r="AB20" s="716"/>
      <c r="AC20" s="716"/>
      <c r="AD20" s="716"/>
      <c r="AE20" s="716"/>
      <c r="AF20" s="716"/>
      <c r="AG20" s="716"/>
      <c r="AH20" s="716"/>
      <c r="AI20" s="716"/>
      <c r="AJ20" s="716"/>
      <c r="AK20" s="716"/>
      <c r="AL20" s="716"/>
      <c r="AM20" s="716"/>
      <c r="AN20" s="716"/>
      <c r="AO20" s="716"/>
      <c r="AP20" s="716"/>
      <c r="AQ20" s="716"/>
      <c r="AR20" s="716"/>
      <c r="AS20" s="716"/>
      <c r="AT20" s="716"/>
      <c r="AU20" s="716"/>
      <c r="AV20" s="716"/>
      <c r="AW20" s="716"/>
      <c r="AX20" s="716"/>
      <c r="AY20" s="716"/>
      <c r="AZ20" s="716"/>
      <c r="BA20" s="716"/>
      <c r="BB20" s="716"/>
      <c r="BC20" s="716"/>
      <c r="BD20" s="716"/>
      <c r="BE20" s="716"/>
      <c r="BF20" s="716"/>
      <c r="BG20" s="716"/>
      <c r="BH20" s="716"/>
      <c r="BI20" s="716"/>
      <c r="BJ20" s="716"/>
      <c r="BK20" s="716"/>
      <c r="BL20" s="716"/>
      <c r="BM20" s="716"/>
    </row>
    <row r="21" spans="1:65" x14ac:dyDescent="0.25">
      <c r="A21" s="716" t="s">
        <v>579</v>
      </c>
      <c r="B21" s="716"/>
      <c r="C21" s="716"/>
      <c r="D21" s="716"/>
      <c r="E21" s="716"/>
      <c r="F21" s="716"/>
      <c r="G21" s="716"/>
      <c r="H21" s="716"/>
      <c r="I21" s="716"/>
      <c r="J21" s="716"/>
      <c r="K21" s="716"/>
      <c r="L21" s="716"/>
      <c r="M21" s="716"/>
      <c r="N21" s="716"/>
      <c r="O21" s="716"/>
      <c r="P21" s="716"/>
      <c r="Q21" s="716"/>
      <c r="R21" s="716"/>
      <c r="S21" s="716"/>
      <c r="T21" s="716"/>
      <c r="U21" s="716"/>
      <c r="V21" s="716"/>
      <c r="W21" s="716"/>
      <c r="X21" s="716"/>
      <c r="Y21" s="716"/>
      <c r="Z21" s="716"/>
      <c r="AA21" s="716"/>
      <c r="AB21" s="716"/>
      <c r="AC21" s="716"/>
      <c r="AD21" s="716"/>
      <c r="AE21" s="716"/>
      <c r="AF21" s="716"/>
      <c r="AG21" s="716"/>
      <c r="AH21" s="716"/>
      <c r="AI21" s="716"/>
      <c r="AJ21" s="716"/>
      <c r="AK21" s="716"/>
      <c r="AL21" s="716"/>
      <c r="AM21" s="716"/>
      <c r="AN21" s="716"/>
      <c r="AO21" s="716"/>
      <c r="AP21" s="716"/>
      <c r="AQ21" s="716"/>
      <c r="AR21" s="716"/>
      <c r="AS21" s="716"/>
      <c r="AT21" s="716"/>
      <c r="AU21" s="716"/>
      <c r="AV21" s="716"/>
      <c r="AW21" s="716"/>
      <c r="AX21" s="716"/>
      <c r="AY21" s="716"/>
      <c r="AZ21" s="716"/>
      <c r="BA21" s="716"/>
      <c r="BB21" s="716"/>
      <c r="BC21" s="716"/>
      <c r="BD21" s="716"/>
      <c r="BE21" s="716"/>
      <c r="BF21" s="716"/>
      <c r="BG21" s="716"/>
      <c r="BH21" s="716"/>
      <c r="BI21" s="716"/>
      <c r="BJ21" s="716"/>
      <c r="BK21" s="716"/>
      <c r="BL21" s="716"/>
      <c r="BM21" s="716"/>
    </row>
    <row r="22" spans="1:65" x14ac:dyDescent="0.25">
      <c r="A22" s="716" t="s">
        <v>425</v>
      </c>
      <c r="B22" s="716"/>
      <c r="C22" s="716"/>
      <c r="D22" s="716"/>
      <c r="E22" s="716"/>
      <c r="F22" s="716"/>
      <c r="G22" s="716"/>
      <c r="H22" s="716"/>
      <c r="I22" s="716"/>
      <c r="J22" s="716"/>
      <c r="K22" s="716"/>
      <c r="L22" s="716"/>
      <c r="M22" s="716"/>
      <c r="N22" s="716"/>
      <c r="O22" s="716"/>
      <c r="P22" s="716"/>
      <c r="Q22" s="716"/>
      <c r="R22" s="716"/>
      <c r="S22" s="716"/>
      <c r="T22" s="716"/>
      <c r="U22" s="716"/>
      <c r="V22" s="716"/>
      <c r="W22" s="716"/>
      <c r="X22" s="716"/>
      <c r="Y22" s="716"/>
      <c r="Z22" s="716"/>
      <c r="AA22" s="716"/>
      <c r="AB22" s="716"/>
      <c r="AC22" s="716"/>
      <c r="AD22" s="716"/>
      <c r="AE22" s="716"/>
      <c r="AF22" s="716"/>
      <c r="AG22" s="716"/>
      <c r="AH22" s="716"/>
      <c r="AI22" s="716"/>
      <c r="AJ22" s="716"/>
      <c r="AK22" s="716"/>
      <c r="AL22" s="716"/>
      <c r="AM22" s="716"/>
      <c r="AN22" s="716"/>
      <c r="AO22" s="716"/>
      <c r="AP22" s="716"/>
      <c r="AQ22" s="716"/>
      <c r="AR22" s="716"/>
      <c r="AS22" s="716"/>
      <c r="AT22" s="716"/>
      <c r="AU22" s="716"/>
      <c r="AV22" s="716"/>
      <c r="AW22" s="716"/>
      <c r="AX22" s="716"/>
      <c r="AY22" s="716"/>
      <c r="AZ22" s="716"/>
      <c r="BA22" s="716"/>
      <c r="BB22" s="716"/>
      <c r="BC22" s="716"/>
      <c r="BD22" s="716"/>
      <c r="BE22" s="716"/>
      <c r="BF22" s="716"/>
      <c r="BG22" s="716"/>
      <c r="BH22" s="716"/>
      <c r="BI22" s="716"/>
      <c r="BJ22" s="716"/>
      <c r="BK22" s="716"/>
      <c r="BL22" s="716"/>
      <c r="BM22" s="716"/>
    </row>
    <row r="24" spans="1:65" x14ac:dyDescent="0.25">
      <c r="A24" s="716"/>
      <c r="B24" s="716"/>
      <c r="C24" s="716"/>
      <c r="D24" s="716"/>
      <c r="E24" s="716">
        <v>1890</v>
      </c>
      <c r="F24" s="716">
        <v>15.75</v>
      </c>
      <c r="G24" s="716"/>
      <c r="H24" s="716"/>
      <c r="I24" s="716"/>
      <c r="J24" s="716"/>
      <c r="K24" s="716"/>
      <c r="L24" s="716"/>
      <c r="M24" s="716"/>
      <c r="N24" s="716"/>
      <c r="O24" s="716"/>
      <c r="P24" s="716"/>
      <c r="Q24" s="716"/>
      <c r="R24" s="716"/>
      <c r="S24" s="716"/>
      <c r="T24" s="716"/>
      <c r="U24" s="716"/>
      <c r="V24" s="716"/>
      <c r="W24" s="716"/>
      <c r="X24" s="716"/>
      <c r="Y24" s="716"/>
      <c r="Z24" s="716"/>
      <c r="AA24" s="716"/>
      <c r="AB24" s="716"/>
      <c r="AC24" s="716"/>
      <c r="AD24" s="716"/>
      <c r="AE24" s="716"/>
      <c r="AF24" s="716"/>
      <c r="AG24" s="716"/>
      <c r="AH24" s="716"/>
      <c r="AI24" s="716"/>
      <c r="AJ24" s="716"/>
      <c r="AK24" s="716"/>
      <c r="AL24" s="716"/>
      <c r="AM24" s="716"/>
      <c r="AN24" s="716"/>
      <c r="AO24" s="716"/>
      <c r="AP24" s="716"/>
      <c r="AQ24" s="716"/>
      <c r="AR24" s="716"/>
      <c r="AS24" s="716"/>
      <c r="AT24" s="716"/>
      <c r="AU24" s="716"/>
      <c r="AV24" s="716"/>
      <c r="AW24" s="716"/>
      <c r="AX24" s="716"/>
      <c r="AY24" s="716"/>
      <c r="AZ24" s="716"/>
      <c r="BA24" s="716"/>
      <c r="BB24" s="716"/>
      <c r="BC24" s="716"/>
      <c r="BD24" s="716"/>
      <c r="BE24" s="716"/>
      <c r="BF24" s="716"/>
      <c r="BG24" s="716"/>
      <c r="BH24" s="716"/>
      <c r="BI24" s="716"/>
      <c r="BJ24" s="716"/>
      <c r="BK24" s="716"/>
      <c r="BL24" s="716"/>
      <c r="BM24" s="716"/>
    </row>
    <row r="28" spans="1:65" x14ac:dyDescent="0.25">
      <c r="A28" s="716"/>
      <c r="B28" s="716"/>
      <c r="C28" s="716" t="s">
        <v>387</v>
      </c>
      <c r="D28" s="716"/>
      <c r="E28" s="716"/>
      <c r="F28" s="716"/>
      <c r="G28" s="716"/>
      <c r="H28" s="716"/>
      <c r="I28" s="716"/>
      <c r="J28" s="716"/>
      <c r="K28" s="716"/>
      <c r="L28" s="716"/>
      <c r="M28" s="716"/>
      <c r="N28" s="716"/>
      <c r="O28" s="716"/>
      <c r="P28" s="716"/>
      <c r="Q28" s="716"/>
      <c r="R28" s="716"/>
      <c r="S28" s="716"/>
      <c r="T28" s="716"/>
      <c r="U28" s="716"/>
      <c r="V28" s="716"/>
      <c r="W28" s="716"/>
      <c r="X28" s="716"/>
      <c r="Y28" s="716"/>
      <c r="Z28" s="716"/>
      <c r="AA28" s="716"/>
      <c r="AB28" s="716"/>
      <c r="AC28" s="716"/>
      <c r="AD28" s="716"/>
      <c r="AE28" s="716"/>
      <c r="AF28" s="716"/>
      <c r="AG28" s="716"/>
      <c r="AH28" s="716"/>
      <c r="AI28" s="716"/>
      <c r="AJ28" s="716"/>
      <c r="AK28" s="716"/>
      <c r="AL28" s="716"/>
      <c r="AM28" s="716"/>
      <c r="AN28" s="716"/>
      <c r="AO28" s="716"/>
      <c r="AP28" s="716"/>
      <c r="AQ28" s="716"/>
      <c r="AR28" s="716"/>
      <c r="AS28" s="716"/>
      <c r="AT28" s="716"/>
      <c r="AU28" s="716"/>
      <c r="AV28" s="716"/>
      <c r="AW28" s="716"/>
      <c r="AX28" s="716"/>
      <c r="AY28" s="716"/>
      <c r="AZ28" s="716"/>
      <c r="BA28" s="716"/>
      <c r="BB28" s="716"/>
      <c r="BC28" s="716"/>
      <c r="BD28" s="716"/>
      <c r="BE28" s="716"/>
      <c r="BF28" s="716"/>
      <c r="BG28" s="716"/>
      <c r="BH28" s="716"/>
      <c r="BI28" s="716"/>
      <c r="BJ28" s="716"/>
      <c r="BK28" s="716"/>
      <c r="BL28" s="716"/>
      <c r="BM28" s="716"/>
    </row>
  </sheetData>
  <mergeCells count="42">
    <mergeCell ref="B2:N2"/>
    <mergeCell ref="X2:AP2"/>
    <mergeCell ref="AO4:BM4"/>
    <mergeCell ref="B4:O4"/>
    <mergeCell ref="B5:B6"/>
    <mergeCell ref="C5:D5"/>
    <mergeCell ref="E5:F5"/>
    <mergeCell ref="G5:H5"/>
    <mergeCell ref="I5:J5"/>
    <mergeCell ref="AH5:AI5"/>
    <mergeCell ref="M5:N5"/>
    <mergeCell ref="V5:W5"/>
    <mergeCell ref="O5:O6"/>
    <mergeCell ref="BM5:BM6"/>
    <mergeCell ref="BI5:BJ5"/>
    <mergeCell ref="AB5:AC5"/>
    <mergeCell ref="B3:N3"/>
    <mergeCell ref="P3:AM3"/>
    <mergeCell ref="BK5:BL5"/>
    <mergeCell ref="AU5:AV5"/>
    <mergeCell ref="AW5:AX5"/>
    <mergeCell ref="BE5:BF5"/>
    <mergeCell ref="AY5:AZ5"/>
    <mergeCell ref="BA5:BB5"/>
    <mergeCell ref="BC5:BD5"/>
    <mergeCell ref="K5:L5"/>
    <mergeCell ref="AO3:BB3"/>
    <mergeCell ref="P4:AM4"/>
    <mergeCell ref="BG5:BH5"/>
    <mergeCell ref="AJ5:AK5"/>
    <mergeCell ref="AL5:AM5"/>
    <mergeCell ref="AN5:AN6"/>
    <mergeCell ref="AO5:AP5"/>
    <mergeCell ref="AQ5:AR5"/>
    <mergeCell ref="AS5:AT5"/>
    <mergeCell ref="AD5:AE5"/>
    <mergeCell ref="AF5:AG5"/>
    <mergeCell ref="R5:S5"/>
    <mergeCell ref="T5:U5"/>
    <mergeCell ref="X5:Y5"/>
    <mergeCell ref="P5:Q5"/>
    <mergeCell ref="Z5:AA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pageSetUpPr fitToPage="1"/>
  </sheetPr>
  <dimension ref="A2:BM27"/>
  <sheetViews>
    <sheetView view="pageBreakPreview" zoomScale="60" zoomScaleNormal="100" workbookViewId="0">
      <selection activeCell="BO2" sqref="BO2"/>
    </sheetView>
  </sheetViews>
  <sheetFormatPr baseColWidth="10" defaultRowHeight="15" x14ac:dyDescent="0.25"/>
  <cols>
    <col min="1" max="1" width="23.140625" customWidth="1"/>
    <col min="2" max="2" width="11" customWidth="1"/>
    <col min="3" max="4" width="13.140625" hidden="1" customWidth="1"/>
    <col min="5" max="10" width="0" hidden="1" customWidth="1"/>
    <col min="11" max="11" width="8.85546875" hidden="1" customWidth="1"/>
    <col min="12" max="12" width="0" hidden="1" customWidth="1"/>
    <col min="13" max="13" width="7.7109375" customWidth="1"/>
    <col min="15" max="15" width="6.7109375" customWidth="1"/>
    <col min="17" max="17" width="6.7109375" customWidth="1"/>
    <col min="19" max="19" width="6.7109375" customWidth="1"/>
    <col min="22" max="22" width="6.7109375" customWidth="1"/>
    <col min="24" max="24" width="6.7109375" customWidth="1"/>
    <col min="26" max="26" width="6.7109375" customWidth="1"/>
    <col min="28" max="28" width="6.7109375" customWidth="1"/>
    <col min="30" max="30" width="6.7109375" customWidth="1"/>
    <col min="32" max="32" width="6.7109375" customWidth="1"/>
    <col min="34" max="34" width="6.7109375" customWidth="1"/>
    <col min="36" max="36" width="6.7109375" customWidth="1"/>
    <col min="38" max="38" width="6.85546875" customWidth="1"/>
    <col min="40" max="40" width="6.85546875" customWidth="1"/>
    <col min="42" max="42" width="6.85546875" customWidth="1"/>
    <col min="44" max="44" width="6.85546875" customWidth="1"/>
    <col min="46" max="46" width="13.140625" customWidth="1"/>
    <col min="47" max="47" width="6.85546875" customWidth="1"/>
    <col min="48" max="48" width="11.85546875" customWidth="1"/>
    <col min="49" max="49" width="6.85546875" customWidth="1"/>
    <col min="51" max="51" width="6.85546875" customWidth="1"/>
    <col min="53" max="53" width="6.85546875" customWidth="1"/>
    <col min="55" max="55" width="6.85546875" customWidth="1"/>
    <col min="56" max="56" width="13.140625" customWidth="1"/>
    <col min="57" max="57" width="6.85546875" customWidth="1"/>
    <col min="58" max="58" width="12.5703125" customWidth="1"/>
    <col min="59" max="59" width="6.85546875" customWidth="1"/>
    <col min="63" max="63" width="13.140625" customWidth="1"/>
    <col min="65" max="65" width="15" customWidth="1"/>
  </cols>
  <sheetData>
    <row r="2" spans="1:65" x14ac:dyDescent="0.25">
      <c r="B2" s="1000" t="s">
        <v>423</v>
      </c>
      <c r="C2" s="1000"/>
      <c r="D2" s="1000"/>
      <c r="E2" s="1000"/>
      <c r="F2" s="1000"/>
      <c r="G2" s="1000"/>
      <c r="H2" s="1000"/>
      <c r="I2" s="1000"/>
      <c r="J2" s="1000"/>
      <c r="K2" s="1000"/>
      <c r="L2" s="1000"/>
      <c r="M2" s="1000"/>
      <c r="N2" s="1000"/>
      <c r="O2" s="1000"/>
      <c r="P2" s="1000"/>
      <c r="Q2" s="1000"/>
      <c r="R2" s="1000"/>
      <c r="S2" s="1000"/>
      <c r="T2" s="1000"/>
      <c r="AD2" s="1000"/>
      <c r="AE2" s="1000"/>
      <c r="AF2" s="1000"/>
      <c r="AG2" s="1000"/>
      <c r="AH2" s="1000"/>
      <c r="AI2" s="1000"/>
      <c r="AJ2" s="1000"/>
      <c r="AK2" s="1000"/>
      <c r="AL2" s="1000"/>
      <c r="AM2" s="1000"/>
      <c r="AN2" s="1000"/>
      <c r="AO2" s="1000"/>
      <c r="AP2" s="1000"/>
      <c r="AQ2" s="1000"/>
      <c r="AR2" s="1000"/>
      <c r="AS2" s="1000"/>
      <c r="AT2" s="1000"/>
      <c r="AU2" s="1000"/>
      <c r="AV2" s="1000"/>
    </row>
    <row r="3" spans="1:65" x14ac:dyDescent="0.25">
      <c r="B3" s="1000" t="s">
        <v>390</v>
      </c>
      <c r="C3" s="1000"/>
      <c r="D3" s="1000"/>
      <c r="E3" s="1000"/>
      <c r="F3" s="1000"/>
      <c r="G3" s="1000"/>
      <c r="H3" s="1000"/>
      <c r="I3" s="1000"/>
      <c r="J3" s="1000"/>
      <c r="K3" s="1000"/>
      <c r="L3" s="1000"/>
      <c r="M3" s="1000"/>
      <c r="N3" s="1000"/>
      <c r="O3" s="1000"/>
      <c r="P3" s="1000"/>
      <c r="Q3" s="1000"/>
      <c r="R3" s="1000"/>
      <c r="S3" s="1000"/>
      <c r="T3" s="1000"/>
      <c r="V3" s="1000" t="s">
        <v>390</v>
      </c>
      <c r="W3" s="1000"/>
      <c r="X3" s="1000"/>
      <c r="Y3" s="1000"/>
      <c r="Z3" s="1000"/>
      <c r="AA3" s="1000"/>
      <c r="AB3" s="1000"/>
      <c r="AC3" s="1000"/>
      <c r="AD3" s="1000"/>
      <c r="AE3" s="1000"/>
      <c r="AF3" s="1000"/>
      <c r="AG3" s="1000"/>
      <c r="AH3" s="1000"/>
      <c r="AI3" s="1000"/>
      <c r="AJ3" s="1000"/>
      <c r="AK3" s="1000"/>
      <c r="AL3" s="1000"/>
      <c r="AM3" s="1000"/>
      <c r="AN3" s="1000"/>
      <c r="AO3" s="1000"/>
      <c r="AP3" s="1000"/>
      <c r="AQ3" s="1000"/>
      <c r="AR3" s="1000"/>
      <c r="AS3" s="1000"/>
      <c r="AU3" s="1000" t="s">
        <v>390</v>
      </c>
      <c r="AV3" s="1000"/>
      <c r="AW3" s="1000"/>
      <c r="AX3" s="1000"/>
      <c r="AY3" s="1000"/>
      <c r="AZ3" s="1000"/>
      <c r="BA3" s="1000"/>
      <c r="BB3" s="1000"/>
      <c r="BC3" s="1000"/>
      <c r="BD3" s="1000"/>
      <c r="BE3" s="1000"/>
      <c r="BF3" s="1000"/>
      <c r="BG3" s="1000"/>
      <c r="BH3" s="1000"/>
    </row>
    <row r="4" spans="1:65" ht="26.25" x14ac:dyDescent="0.4">
      <c r="C4" s="1038">
        <v>2019</v>
      </c>
      <c r="D4" s="1038"/>
      <c r="E4" s="1038"/>
      <c r="F4" s="1038"/>
      <c r="G4" s="1038"/>
      <c r="H4" s="1038"/>
      <c r="I4" s="1038"/>
      <c r="J4" s="1038"/>
      <c r="K4" s="1038"/>
      <c r="L4" s="1038"/>
      <c r="M4" s="1038"/>
      <c r="N4" s="1038"/>
      <c r="O4" s="1038"/>
      <c r="P4" s="1038"/>
      <c r="Q4" s="1038"/>
      <c r="R4" s="1038"/>
      <c r="S4" s="1038"/>
      <c r="T4" s="1038"/>
      <c r="V4" s="1039">
        <v>2020</v>
      </c>
      <c r="W4" s="1039"/>
      <c r="X4" s="1039"/>
      <c r="Y4" s="1039"/>
      <c r="Z4" s="1039"/>
      <c r="AA4" s="1039"/>
      <c r="AB4" s="1039"/>
      <c r="AC4" s="1039"/>
      <c r="AD4" s="1039"/>
      <c r="AE4" s="1039"/>
      <c r="AF4" s="1039"/>
      <c r="AG4" s="1039"/>
      <c r="AH4" s="1039"/>
      <c r="AI4" s="1039"/>
      <c r="AJ4" s="1039"/>
      <c r="AK4" s="1039"/>
      <c r="AL4" s="1039"/>
      <c r="AM4" s="1039"/>
      <c r="AN4" s="1039"/>
      <c r="AO4" s="1039"/>
      <c r="AP4" s="1039"/>
      <c r="AQ4" s="1039"/>
      <c r="AR4" s="1039"/>
      <c r="AS4" s="1039"/>
      <c r="AT4" s="522"/>
      <c r="AU4" s="1040">
        <v>2021</v>
      </c>
      <c r="AV4" s="1040"/>
      <c r="AW4" s="1040"/>
      <c r="AX4" s="1040"/>
      <c r="AY4" s="1040"/>
      <c r="AZ4" s="1040"/>
      <c r="BA4" s="1040"/>
      <c r="BB4" s="1040"/>
      <c r="BC4" s="1040"/>
      <c r="BD4" s="1040"/>
      <c r="BE4" s="1040"/>
      <c r="BF4" s="1040"/>
      <c r="BG4" s="1040"/>
      <c r="BH4" s="1040"/>
      <c r="BI4" s="523"/>
    </row>
    <row r="5" spans="1:65" x14ac:dyDescent="0.25">
      <c r="B5" s="1034" t="s">
        <v>391</v>
      </c>
      <c r="C5" s="1041" t="s">
        <v>365</v>
      </c>
      <c r="D5" s="1042"/>
      <c r="E5" s="1041" t="s">
        <v>366</v>
      </c>
      <c r="F5" s="1042"/>
      <c r="G5" s="1041" t="s">
        <v>367</v>
      </c>
      <c r="H5" s="1042"/>
      <c r="I5" s="1041" t="s">
        <v>368</v>
      </c>
      <c r="J5" s="1042"/>
      <c r="K5" s="1041" t="s">
        <v>369</v>
      </c>
      <c r="L5" s="1042"/>
      <c r="M5" s="1043" t="s">
        <v>370</v>
      </c>
      <c r="N5" s="1044"/>
      <c r="O5" s="1043" t="s">
        <v>371</v>
      </c>
      <c r="P5" s="1044"/>
      <c r="Q5" s="1043" t="s">
        <v>372</v>
      </c>
      <c r="R5" s="1044"/>
      <c r="S5" s="1043" t="s">
        <v>373</v>
      </c>
      <c r="T5" s="1044"/>
      <c r="U5" s="1034">
        <v>2019</v>
      </c>
      <c r="V5" s="1036" t="s">
        <v>374</v>
      </c>
      <c r="W5" s="1037"/>
      <c r="X5" s="1036" t="s">
        <v>375</v>
      </c>
      <c r="Y5" s="1037"/>
      <c r="Z5" s="1036" t="s">
        <v>376</v>
      </c>
      <c r="AA5" s="1037"/>
      <c r="AB5" s="1036" t="s">
        <v>365</v>
      </c>
      <c r="AC5" s="1037"/>
      <c r="AD5" s="1036" t="s">
        <v>366</v>
      </c>
      <c r="AE5" s="1037"/>
      <c r="AF5" s="1036" t="s">
        <v>367</v>
      </c>
      <c r="AG5" s="1037"/>
      <c r="AH5" s="1036" t="s">
        <v>368</v>
      </c>
      <c r="AI5" s="1037"/>
      <c r="AJ5" s="1036" t="s">
        <v>369</v>
      </c>
      <c r="AK5" s="1037"/>
      <c r="AL5" s="1036" t="s">
        <v>370</v>
      </c>
      <c r="AM5" s="1037"/>
      <c r="AN5" s="1036" t="s">
        <v>371</v>
      </c>
      <c r="AO5" s="1037"/>
      <c r="AP5" s="1036" t="s">
        <v>372</v>
      </c>
      <c r="AQ5" s="1037"/>
      <c r="AR5" s="1036" t="s">
        <v>373</v>
      </c>
      <c r="AS5" s="1037"/>
      <c r="AT5" s="1046">
        <v>2020</v>
      </c>
      <c r="AU5" s="1045" t="s">
        <v>374</v>
      </c>
      <c r="AV5" s="1037"/>
      <c r="AW5" s="1045" t="s">
        <v>375</v>
      </c>
      <c r="AX5" s="1037"/>
      <c r="AY5" s="1045" t="s">
        <v>376</v>
      </c>
      <c r="AZ5" s="1037"/>
      <c r="BA5" s="1045" t="s">
        <v>365</v>
      </c>
      <c r="BB5" s="1037"/>
      <c r="BC5" s="1045" t="s">
        <v>366</v>
      </c>
      <c r="BD5" s="1037"/>
      <c r="BE5" s="1045" t="s">
        <v>367</v>
      </c>
      <c r="BF5" s="1037"/>
      <c r="BG5" s="1045" t="s">
        <v>368</v>
      </c>
      <c r="BH5" s="1037"/>
      <c r="BI5" s="1049">
        <v>2021</v>
      </c>
      <c r="BJ5" s="1047">
        <v>2019</v>
      </c>
      <c r="BK5" s="1047">
        <v>2020</v>
      </c>
      <c r="BL5" s="1047">
        <v>2021</v>
      </c>
      <c r="BM5" s="1047" t="s">
        <v>377</v>
      </c>
    </row>
    <row r="6" spans="1:65" ht="59.25" customHeight="1" x14ac:dyDescent="0.25">
      <c r="B6" s="1035"/>
      <c r="C6" s="524" t="s">
        <v>378</v>
      </c>
      <c r="D6" s="524" t="s">
        <v>379</v>
      </c>
      <c r="E6" s="524" t="s">
        <v>378</v>
      </c>
      <c r="F6" s="524" t="s">
        <v>379</v>
      </c>
      <c r="G6" s="524" t="s">
        <v>378</v>
      </c>
      <c r="H6" s="524" t="s">
        <v>379</v>
      </c>
      <c r="I6" s="524" t="s">
        <v>378</v>
      </c>
      <c r="J6" s="524" t="s">
        <v>379</v>
      </c>
      <c r="K6" s="524" t="s">
        <v>378</v>
      </c>
      <c r="L6" s="524" t="s">
        <v>379</v>
      </c>
      <c r="M6" s="538" t="s">
        <v>378</v>
      </c>
      <c r="N6" s="538" t="s">
        <v>379</v>
      </c>
      <c r="O6" s="538" t="s">
        <v>378</v>
      </c>
      <c r="P6" s="538" t="s">
        <v>379</v>
      </c>
      <c r="Q6" s="538" t="s">
        <v>378</v>
      </c>
      <c r="R6" s="538" t="s">
        <v>379</v>
      </c>
      <c r="S6" s="538" t="s">
        <v>378</v>
      </c>
      <c r="T6" s="538" t="s">
        <v>379</v>
      </c>
      <c r="U6" s="1035"/>
      <c r="V6" s="539" t="s">
        <v>378</v>
      </c>
      <c r="W6" s="539" t="s">
        <v>379</v>
      </c>
      <c r="X6" s="539" t="s">
        <v>378</v>
      </c>
      <c r="Y6" s="539" t="s">
        <v>379</v>
      </c>
      <c r="Z6" s="539" t="s">
        <v>378</v>
      </c>
      <c r="AA6" s="539" t="s">
        <v>379</v>
      </c>
      <c r="AB6" s="539" t="s">
        <v>378</v>
      </c>
      <c r="AC6" s="539" t="s">
        <v>379</v>
      </c>
      <c r="AD6" s="539" t="s">
        <v>378</v>
      </c>
      <c r="AE6" s="539" t="s">
        <v>379</v>
      </c>
      <c r="AF6" s="539" t="s">
        <v>378</v>
      </c>
      <c r="AG6" s="539" t="s">
        <v>379</v>
      </c>
      <c r="AH6" s="539" t="s">
        <v>378</v>
      </c>
      <c r="AI6" s="539" t="s">
        <v>379</v>
      </c>
      <c r="AJ6" s="539" t="s">
        <v>378</v>
      </c>
      <c r="AK6" s="539" t="s">
        <v>379</v>
      </c>
      <c r="AL6" s="539" t="s">
        <v>378</v>
      </c>
      <c r="AM6" s="539" t="s">
        <v>379</v>
      </c>
      <c r="AN6" s="539" t="s">
        <v>378</v>
      </c>
      <c r="AO6" s="539" t="s">
        <v>379</v>
      </c>
      <c r="AP6" s="539" t="s">
        <v>378</v>
      </c>
      <c r="AQ6" s="539" t="s">
        <v>379</v>
      </c>
      <c r="AR6" s="539" t="s">
        <v>378</v>
      </c>
      <c r="AS6" s="539" t="s">
        <v>379</v>
      </c>
      <c r="AT6" s="1007"/>
      <c r="AU6" s="540" t="s">
        <v>378</v>
      </c>
      <c r="AV6" s="540" t="s">
        <v>379</v>
      </c>
      <c r="AW6" s="540" t="s">
        <v>378</v>
      </c>
      <c r="AX6" s="540" t="s">
        <v>379</v>
      </c>
      <c r="AY6" s="540" t="s">
        <v>378</v>
      </c>
      <c r="AZ6" s="540" t="s">
        <v>379</v>
      </c>
      <c r="BA6" s="540" t="s">
        <v>378</v>
      </c>
      <c r="BB6" s="540" t="s">
        <v>379</v>
      </c>
      <c r="BC6" s="540" t="s">
        <v>378</v>
      </c>
      <c r="BD6" s="540" t="s">
        <v>379</v>
      </c>
      <c r="BE6" s="540" t="s">
        <v>378</v>
      </c>
      <c r="BF6" s="540" t="s">
        <v>379</v>
      </c>
      <c r="BG6" s="540" t="s">
        <v>378</v>
      </c>
      <c r="BH6" s="540" t="s">
        <v>379</v>
      </c>
      <c r="BI6" s="1007"/>
      <c r="BJ6" s="1048"/>
      <c r="BK6" s="1048"/>
      <c r="BL6" s="1048"/>
      <c r="BM6" s="1048"/>
    </row>
    <row r="7" spans="1:65" s="2" customFormat="1" x14ac:dyDescent="0.25">
      <c r="A7" s="525" t="s">
        <v>380</v>
      </c>
      <c r="B7" s="532">
        <v>80</v>
      </c>
      <c r="C7" s="525">
        <v>0</v>
      </c>
      <c r="D7" s="526">
        <f t="shared" ref="D7:D15" si="0">+B7*C7</f>
        <v>0</v>
      </c>
      <c r="E7" s="525"/>
      <c r="F7" s="526">
        <f t="shared" ref="F7" si="1">+B7*E7</f>
        <v>0</v>
      </c>
      <c r="G7" s="525"/>
      <c r="H7" s="526">
        <f t="shared" ref="H7:H15" si="2">+B7*G7</f>
        <v>0</v>
      </c>
      <c r="I7" s="525"/>
      <c r="J7" s="526">
        <f t="shared" ref="J7:J15" si="3">+I7*B7</f>
        <v>0</v>
      </c>
      <c r="K7" s="525"/>
      <c r="L7" s="526">
        <f t="shared" ref="L7:L15" si="4">+K7*B7</f>
        <v>0</v>
      </c>
      <c r="M7" s="525"/>
      <c r="N7" s="532">
        <f t="shared" ref="N7:N15" si="5">+M7*B7</f>
        <v>0</v>
      </c>
      <c r="O7" s="525"/>
      <c r="P7" s="532">
        <f t="shared" ref="P7:P15" si="6">+B7*O7</f>
        <v>0</v>
      </c>
      <c r="Q7" s="525"/>
      <c r="R7" s="532">
        <f t="shared" ref="R7:R15" si="7">+Q7*B7</f>
        <v>0</v>
      </c>
      <c r="S7" s="525"/>
      <c r="T7" s="532">
        <f>+S7*$B$7</f>
        <v>0</v>
      </c>
      <c r="U7" s="532">
        <f t="shared" ref="U7:U13" si="8">+T7+R7+P7+N7+L7+J7+H7+F7</f>
        <v>0</v>
      </c>
      <c r="V7" s="525"/>
      <c r="W7" s="532">
        <f t="shared" ref="W7:W15" si="9">+V7*B7</f>
        <v>0</v>
      </c>
      <c r="X7" s="525"/>
      <c r="Y7" s="532">
        <f>+X7*B7</f>
        <v>0</v>
      </c>
      <c r="Z7" s="525"/>
      <c r="AA7" s="532">
        <f t="shared" ref="AA7:AA15" si="10">+Z7*B7</f>
        <v>0</v>
      </c>
      <c r="AB7" s="525"/>
      <c r="AC7" s="532">
        <f t="shared" ref="AC7:AC15" si="11">+AB7*B7</f>
        <v>0</v>
      </c>
      <c r="AD7" s="525">
        <v>2</v>
      </c>
      <c r="AE7" s="532">
        <f t="shared" ref="AE7:AE15" si="12">+AD7*B7</f>
        <v>160</v>
      </c>
      <c r="AF7" s="525">
        <v>2</v>
      </c>
      <c r="AG7" s="532">
        <f>+AF7*B7</f>
        <v>160</v>
      </c>
      <c r="AH7" s="525">
        <v>2</v>
      </c>
      <c r="AI7" s="532">
        <f t="shared" ref="AI7:AI15" si="13">+AH7*B7</f>
        <v>160</v>
      </c>
      <c r="AJ7" s="525">
        <v>2</v>
      </c>
      <c r="AK7" s="532">
        <f t="shared" ref="AK7:AK15" si="14">+AJ7*B7</f>
        <v>160</v>
      </c>
      <c r="AL7" s="525">
        <v>2</v>
      </c>
      <c r="AM7" s="532">
        <f t="shared" ref="AM7:AM15" si="15">+AL7*B7</f>
        <v>160</v>
      </c>
      <c r="AN7" s="525">
        <v>2</v>
      </c>
      <c r="AO7" s="532">
        <f t="shared" ref="AO7:AO15" si="16">+AN7*B7</f>
        <v>160</v>
      </c>
      <c r="AP7" s="525">
        <v>2</v>
      </c>
      <c r="AQ7" s="532">
        <f t="shared" ref="AQ7:AQ15" si="17">+AP7*B7</f>
        <v>160</v>
      </c>
      <c r="AR7" s="525">
        <v>2</v>
      </c>
      <c r="AS7" s="532">
        <f t="shared" ref="AS7:AS13" si="18">+AR7*B7</f>
        <v>160</v>
      </c>
      <c r="AT7" s="532">
        <f t="shared" ref="AT7:AT15" si="19">+AS7+AQ7+AO7+AM7+AK7+AI7+AG7+AE7+AC7+AA7+Y7+W7</f>
        <v>1280</v>
      </c>
      <c r="AU7" s="525">
        <v>2</v>
      </c>
      <c r="AV7" s="534">
        <f t="shared" ref="AV7:AV15" si="20">+AU7*B7</f>
        <v>160</v>
      </c>
      <c r="AW7" s="525">
        <v>2</v>
      </c>
      <c r="AX7" s="534">
        <f t="shared" ref="AX7:AX15" si="21">+AW7*B7</f>
        <v>160</v>
      </c>
      <c r="AY7" s="525">
        <v>2</v>
      </c>
      <c r="AZ7" s="534">
        <f t="shared" ref="AZ7:AZ15" si="22">+AY7*B7</f>
        <v>160</v>
      </c>
      <c r="BA7" s="525">
        <v>2</v>
      </c>
      <c r="BB7" s="534">
        <f t="shared" ref="BB7:BB15" si="23">+BA7*B7</f>
        <v>160</v>
      </c>
      <c r="BC7" s="525">
        <v>2</v>
      </c>
      <c r="BD7" s="534">
        <f t="shared" ref="BD7:BD15" si="24">+BC7*B7</f>
        <v>160</v>
      </c>
      <c r="BE7" s="525">
        <v>2</v>
      </c>
      <c r="BF7" s="534">
        <f t="shared" ref="BF7:BF15" si="25">+BE7*B7</f>
        <v>160</v>
      </c>
      <c r="BG7" s="525">
        <v>2</v>
      </c>
      <c r="BH7" s="534">
        <f t="shared" ref="BH7:BH13" si="26">+BG7*B7</f>
        <v>160</v>
      </c>
      <c r="BI7" s="532">
        <f t="shared" ref="BI7:BI15" si="27">+BH7+BF7+BD7+BB7+AZ7+AX7+AV7</f>
        <v>1120</v>
      </c>
      <c r="BJ7" s="532">
        <f t="shared" ref="BJ7:BJ15" si="28">+U7</f>
        <v>0</v>
      </c>
      <c r="BK7" s="532">
        <f t="shared" ref="BK7:BK15" si="29">+AT7</f>
        <v>1280</v>
      </c>
      <c r="BL7" s="532">
        <f t="shared" ref="BL7:BL15" si="30">+BI7</f>
        <v>1120</v>
      </c>
      <c r="BM7" s="532">
        <f t="shared" ref="BM7:BM15" si="31">SUM(BJ7:BL7)</f>
        <v>2400</v>
      </c>
    </row>
    <row r="8" spans="1:65" s="2" customFormat="1" x14ac:dyDescent="0.25">
      <c r="A8" s="527" t="s">
        <v>381</v>
      </c>
      <c r="B8" s="532">
        <v>120</v>
      </c>
      <c r="C8" s="525">
        <v>0</v>
      </c>
      <c r="D8" s="526">
        <f t="shared" si="0"/>
        <v>0</v>
      </c>
      <c r="E8" s="525"/>
      <c r="F8" s="526">
        <f>+B8*E8</f>
        <v>0</v>
      </c>
      <c r="G8" s="525"/>
      <c r="H8" s="526">
        <f t="shared" si="2"/>
        <v>0</v>
      </c>
      <c r="I8" s="525"/>
      <c r="J8" s="526">
        <f t="shared" si="3"/>
        <v>0</v>
      </c>
      <c r="K8" s="525"/>
      <c r="L8" s="526">
        <f t="shared" si="4"/>
        <v>0</v>
      </c>
      <c r="M8" s="525">
        <v>6</v>
      </c>
      <c r="N8" s="532">
        <f t="shared" si="5"/>
        <v>720</v>
      </c>
      <c r="O8" s="525">
        <v>7</v>
      </c>
      <c r="P8" s="532">
        <f t="shared" si="6"/>
        <v>840</v>
      </c>
      <c r="Q8" s="525">
        <v>7</v>
      </c>
      <c r="R8" s="532">
        <f t="shared" si="7"/>
        <v>840</v>
      </c>
      <c r="S8" s="525">
        <v>6</v>
      </c>
      <c r="T8" s="532">
        <f t="shared" ref="T8:T15" si="32">+S8*B8</f>
        <v>720</v>
      </c>
      <c r="U8" s="532">
        <f t="shared" si="8"/>
        <v>3120</v>
      </c>
      <c r="V8" s="525">
        <v>3</v>
      </c>
      <c r="W8" s="532">
        <f t="shared" si="9"/>
        <v>360</v>
      </c>
      <c r="X8" s="525">
        <v>4</v>
      </c>
      <c r="Y8" s="532">
        <f t="shared" ref="Y8:Y15" si="33">+X8*B8</f>
        <v>480</v>
      </c>
      <c r="Z8" s="525">
        <v>3</v>
      </c>
      <c r="AA8" s="532">
        <f t="shared" si="10"/>
        <v>360</v>
      </c>
      <c r="AB8" s="525">
        <v>3</v>
      </c>
      <c r="AC8" s="532">
        <f t="shared" si="11"/>
        <v>360</v>
      </c>
      <c r="AD8" s="525">
        <v>3</v>
      </c>
      <c r="AE8" s="532">
        <f t="shared" si="12"/>
        <v>360</v>
      </c>
      <c r="AF8" s="525">
        <v>3</v>
      </c>
      <c r="AG8" s="532">
        <f t="shared" ref="AG8:AG15" si="34">+AF8*B8</f>
        <v>360</v>
      </c>
      <c r="AH8" s="525">
        <v>3</v>
      </c>
      <c r="AI8" s="532">
        <f t="shared" si="13"/>
        <v>360</v>
      </c>
      <c r="AJ8" s="525">
        <v>3</v>
      </c>
      <c r="AK8" s="532">
        <f t="shared" si="14"/>
        <v>360</v>
      </c>
      <c r="AL8" s="525">
        <v>3</v>
      </c>
      <c r="AM8" s="532">
        <f t="shared" si="15"/>
        <v>360</v>
      </c>
      <c r="AN8" s="525">
        <v>3</v>
      </c>
      <c r="AO8" s="532">
        <f t="shared" si="16"/>
        <v>360</v>
      </c>
      <c r="AP8" s="525">
        <v>3</v>
      </c>
      <c r="AQ8" s="532">
        <f t="shared" si="17"/>
        <v>360</v>
      </c>
      <c r="AR8" s="525">
        <v>3</v>
      </c>
      <c r="AS8" s="532">
        <f t="shared" si="18"/>
        <v>360</v>
      </c>
      <c r="AT8" s="532">
        <f t="shared" si="19"/>
        <v>4440</v>
      </c>
      <c r="AU8" s="525">
        <v>3</v>
      </c>
      <c r="AV8" s="534">
        <f t="shared" si="20"/>
        <v>360</v>
      </c>
      <c r="AW8" s="525">
        <v>2</v>
      </c>
      <c r="AX8" s="534">
        <f t="shared" si="21"/>
        <v>240</v>
      </c>
      <c r="AY8" s="525">
        <v>1</v>
      </c>
      <c r="AZ8" s="534">
        <f t="shared" si="22"/>
        <v>120</v>
      </c>
      <c r="BA8" s="525">
        <v>1</v>
      </c>
      <c r="BB8" s="534">
        <f t="shared" si="23"/>
        <v>120</v>
      </c>
      <c r="BC8" s="525">
        <v>3</v>
      </c>
      <c r="BD8" s="534">
        <f t="shared" si="24"/>
        <v>360</v>
      </c>
      <c r="BE8" s="525">
        <v>3</v>
      </c>
      <c r="BF8" s="534">
        <f t="shared" si="25"/>
        <v>360</v>
      </c>
      <c r="BG8" s="525">
        <v>3</v>
      </c>
      <c r="BH8" s="534">
        <f t="shared" si="26"/>
        <v>360</v>
      </c>
      <c r="BI8" s="532">
        <f t="shared" si="27"/>
        <v>1920</v>
      </c>
      <c r="BJ8" s="532">
        <f t="shared" si="28"/>
        <v>3120</v>
      </c>
      <c r="BK8" s="532">
        <f t="shared" si="29"/>
        <v>4440</v>
      </c>
      <c r="BL8" s="532">
        <f t="shared" si="30"/>
        <v>1920</v>
      </c>
      <c r="BM8" s="532">
        <f t="shared" si="31"/>
        <v>9480</v>
      </c>
    </row>
    <row r="9" spans="1:65" s="2" customFormat="1" ht="30" x14ac:dyDescent="0.25">
      <c r="A9" s="527" t="s">
        <v>382</v>
      </c>
      <c r="B9" s="532">
        <v>130</v>
      </c>
      <c r="C9" s="525">
        <v>0</v>
      </c>
      <c r="D9" s="526">
        <f t="shared" si="0"/>
        <v>0</v>
      </c>
      <c r="E9" s="525"/>
      <c r="F9" s="526">
        <f t="shared" ref="F9:F15" si="35">+B9*E9</f>
        <v>0</v>
      </c>
      <c r="G9" s="525"/>
      <c r="H9" s="526">
        <f t="shared" si="2"/>
        <v>0</v>
      </c>
      <c r="I9" s="525"/>
      <c r="J9" s="526">
        <f t="shared" si="3"/>
        <v>0</v>
      </c>
      <c r="K9" s="525"/>
      <c r="L9" s="526">
        <f t="shared" si="4"/>
        <v>0</v>
      </c>
      <c r="M9" s="525">
        <v>7</v>
      </c>
      <c r="N9" s="532">
        <f t="shared" si="5"/>
        <v>910</v>
      </c>
      <c r="O9" s="525">
        <v>7</v>
      </c>
      <c r="P9" s="532">
        <f t="shared" si="6"/>
        <v>910</v>
      </c>
      <c r="Q9" s="525">
        <v>7</v>
      </c>
      <c r="R9" s="532">
        <f t="shared" si="7"/>
        <v>910</v>
      </c>
      <c r="S9" s="525">
        <v>7</v>
      </c>
      <c r="T9" s="532">
        <f t="shared" si="32"/>
        <v>910</v>
      </c>
      <c r="U9" s="532">
        <f t="shared" si="8"/>
        <v>3640</v>
      </c>
      <c r="V9" s="525">
        <v>6</v>
      </c>
      <c r="W9" s="532">
        <f t="shared" si="9"/>
        <v>780</v>
      </c>
      <c r="X9" s="525">
        <v>7</v>
      </c>
      <c r="Y9" s="532">
        <f t="shared" si="33"/>
        <v>910</v>
      </c>
      <c r="Z9" s="525">
        <v>5</v>
      </c>
      <c r="AA9" s="532">
        <f t="shared" si="10"/>
        <v>650</v>
      </c>
      <c r="AB9" s="525">
        <v>5</v>
      </c>
      <c r="AC9" s="532">
        <f t="shared" si="11"/>
        <v>650</v>
      </c>
      <c r="AD9" s="525">
        <v>5</v>
      </c>
      <c r="AE9" s="532">
        <f t="shared" si="12"/>
        <v>650</v>
      </c>
      <c r="AF9" s="525">
        <v>5</v>
      </c>
      <c r="AG9" s="532">
        <f t="shared" si="34"/>
        <v>650</v>
      </c>
      <c r="AH9" s="525">
        <v>5</v>
      </c>
      <c r="AI9" s="532">
        <f t="shared" si="13"/>
        <v>650</v>
      </c>
      <c r="AJ9" s="525">
        <v>5</v>
      </c>
      <c r="AK9" s="532">
        <f t="shared" si="14"/>
        <v>650</v>
      </c>
      <c r="AL9" s="525">
        <v>6</v>
      </c>
      <c r="AM9" s="532">
        <f t="shared" si="15"/>
        <v>780</v>
      </c>
      <c r="AN9" s="525">
        <v>6</v>
      </c>
      <c r="AO9" s="532">
        <f t="shared" si="16"/>
        <v>780</v>
      </c>
      <c r="AP9" s="525">
        <v>5</v>
      </c>
      <c r="AQ9" s="532">
        <f t="shared" si="17"/>
        <v>650</v>
      </c>
      <c r="AR9" s="525">
        <v>4</v>
      </c>
      <c r="AS9" s="532">
        <f t="shared" si="18"/>
        <v>520</v>
      </c>
      <c r="AT9" s="532">
        <f t="shared" si="19"/>
        <v>8320</v>
      </c>
      <c r="AU9" s="525">
        <v>5</v>
      </c>
      <c r="AV9" s="534">
        <f t="shared" si="20"/>
        <v>650</v>
      </c>
      <c r="AW9" s="525">
        <v>5</v>
      </c>
      <c r="AX9" s="534">
        <f t="shared" si="21"/>
        <v>650</v>
      </c>
      <c r="AY9" s="525">
        <v>2</v>
      </c>
      <c r="AZ9" s="534">
        <f t="shared" si="22"/>
        <v>260</v>
      </c>
      <c r="BA9" s="525">
        <v>2</v>
      </c>
      <c r="BB9" s="534">
        <f t="shared" si="23"/>
        <v>260</v>
      </c>
      <c r="BC9" s="525">
        <v>6</v>
      </c>
      <c r="BD9" s="534">
        <f t="shared" si="24"/>
        <v>780</v>
      </c>
      <c r="BE9" s="525">
        <v>6</v>
      </c>
      <c r="BF9" s="534">
        <f t="shared" si="25"/>
        <v>780</v>
      </c>
      <c r="BG9" s="525">
        <v>5</v>
      </c>
      <c r="BH9" s="534">
        <f t="shared" si="26"/>
        <v>650</v>
      </c>
      <c r="BI9" s="532">
        <f t="shared" si="27"/>
        <v>4030</v>
      </c>
      <c r="BJ9" s="532">
        <f t="shared" si="28"/>
        <v>3640</v>
      </c>
      <c r="BK9" s="532">
        <f t="shared" si="29"/>
        <v>8320</v>
      </c>
      <c r="BL9" s="532">
        <f t="shared" si="30"/>
        <v>4030</v>
      </c>
      <c r="BM9" s="532">
        <f t="shared" si="31"/>
        <v>15990</v>
      </c>
    </row>
    <row r="10" spans="1:65" s="2" customFormat="1" x14ac:dyDescent="0.25">
      <c r="A10" s="527" t="s">
        <v>383</v>
      </c>
      <c r="B10" s="532">
        <v>130</v>
      </c>
      <c r="C10" s="525">
        <v>0</v>
      </c>
      <c r="D10" s="526">
        <f t="shared" si="0"/>
        <v>0</v>
      </c>
      <c r="E10" s="525"/>
      <c r="F10" s="526">
        <f t="shared" si="35"/>
        <v>0</v>
      </c>
      <c r="G10" s="525"/>
      <c r="H10" s="526">
        <f t="shared" si="2"/>
        <v>0</v>
      </c>
      <c r="I10" s="525"/>
      <c r="J10" s="526">
        <f t="shared" si="3"/>
        <v>0</v>
      </c>
      <c r="K10" s="525"/>
      <c r="L10" s="526">
        <f t="shared" si="4"/>
        <v>0</v>
      </c>
      <c r="M10" s="525">
        <v>5</v>
      </c>
      <c r="N10" s="532">
        <f t="shared" si="5"/>
        <v>650</v>
      </c>
      <c r="O10" s="525">
        <v>4</v>
      </c>
      <c r="P10" s="532">
        <f t="shared" si="6"/>
        <v>520</v>
      </c>
      <c r="Q10" s="525">
        <v>4</v>
      </c>
      <c r="R10" s="532">
        <f t="shared" si="7"/>
        <v>520</v>
      </c>
      <c r="S10" s="525">
        <v>4</v>
      </c>
      <c r="T10" s="532">
        <f t="shared" si="32"/>
        <v>520</v>
      </c>
      <c r="U10" s="532">
        <f t="shared" si="8"/>
        <v>2210</v>
      </c>
      <c r="V10" s="525">
        <v>4</v>
      </c>
      <c r="W10" s="532">
        <f t="shared" si="9"/>
        <v>520</v>
      </c>
      <c r="X10" s="525">
        <v>4</v>
      </c>
      <c r="Y10" s="532">
        <f t="shared" si="33"/>
        <v>520</v>
      </c>
      <c r="Z10" s="525">
        <v>4</v>
      </c>
      <c r="AA10" s="532">
        <f t="shared" si="10"/>
        <v>520</v>
      </c>
      <c r="AB10" s="525">
        <v>4</v>
      </c>
      <c r="AC10" s="532">
        <f t="shared" si="11"/>
        <v>520</v>
      </c>
      <c r="AD10" s="525">
        <v>4</v>
      </c>
      <c r="AE10" s="532">
        <f t="shared" si="12"/>
        <v>520</v>
      </c>
      <c r="AF10" s="525">
        <v>4</v>
      </c>
      <c r="AG10" s="532">
        <f t="shared" si="34"/>
        <v>520</v>
      </c>
      <c r="AH10" s="525">
        <v>4</v>
      </c>
      <c r="AI10" s="532">
        <f t="shared" si="13"/>
        <v>520</v>
      </c>
      <c r="AJ10" s="525">
        <v>4</v>
      </c>
      <c r="AK10" s="532">
        <f t="shared" si="14"/>
        <v>520</v>
      </c>
      <c r="AL10" s="525">
        <v>4</v>
      </c>
      <c r="AM10" s="532">
        <f t="shared" si="15"/>
        <v>520</v>
      </c>
      <c r="AN10" s="525">
        <v>4</v>
      </c>
      <c r="AO10" s="532">
        <f t="shared" si="16"/>
        <v>520</v>
      </c>
      <c r="AP10" s="525">
        <v>4</v>
      </c>
      <c r="AQ10" s="532">
        <f t="shared" si="17"/>
        <v>520</v>
      </c>
      <c r="AR10" s="525">
        <v>4</v>
      </c>
      <c r="AS10" s="532">
        <f t="shared" si="18"/>
        <v>520</v>
      </c>
      <c r="AT10" s="532">
        <f t="shared" si="19"/>
        <v>6240</v>
      </c>
      <c r="AU10" s="525">
        <v>4</v>
      </c>
      <c r="AV10" s="534">
        <f t="shared" si="20"/>
        <v>520</v>
      </c>
      <c r="AW10" s="525">
        <v>4</v>
      </c>
      <c r="AX10" s="534">
        <f t="shared" si="21"/>
        <v>520</v>
      </c>
      <c r="AY10" s="525">
        <v>4</v>
      </c>
      <c r="AZ10" s="534">
        <f>+AY10*B10</f>
        <v>520</v>
      </c>
      <c r="BA10" s="525">
        <v>2</v>
      </c>
      <c r="BB10" s="534">
        <f t="shared" si="23"/>
        <v>260</v>
      </c>
      <c r="BC10" s="525">
        <v>4</v>
      </c>
      <c r="BD10" s="534">
        <f t="shared" si="24"/>
        <v>520</v>
      </c>
      <c r="BE10" s="525">
        <v>4</v>
      </c>
      <c r="BF10" s="534">
        <f t="shared" si="25"/>
        <v>520</v>
      </c>
      <c r="BG10" s="525">
        <v>4</v>
      </c>
      <c r="BH10" s="534">
        <f t="shared" si="26"/>
        <v>520</v>
      </c>
      <c r="BI10" s="532">
        <f t="shared" si="27"/>
        <v>3380</v>
      </c>
      <c r="BJ10" s="532">
        <f t="shared" si="28"/>
        <v>2210</v>
      </c>
      <c r="BK10" s="532">
        <f t="shared" si="29"/>
        <v>6240</v>
      </c>
      <c r="BL10" s="532">
        <f t="shared" si="30"/>
        <v>3380</v>
      </c>
      <c r="BM10" s="532">
        <f t="shared" si="31"/>
        <v>11830</v>
      </c>
    </row>
    <row r="11" spans="1:65" s="2" customFormat="1" ht="30" x14ac:dyDescent="0.25">
      <c r="A11" s="527" t="s">
        <v>384</v>
      </c>
      <c r="B11" s="532">
        <v>130</v>
      </c>
      <c r="C11" s="525">
        <v>0</v>
      </c>
      <c r="D11" s="526">
        <f t="shared" si="0"/>
        <v>0</v>
      </c>
      <c r="E11" s="525"/>
      <c r="F11" s="526">
        <f t="shared" si="35"/>
        <v>0</v>
      </c>
      <c r="G11" s="525"/>
      <c r="H11" s="526">
        <f t="shared" si="2"/>
        <v>0</v>
      </c>
      <c r="I11" s="525"/>
      <c r="J11" s="526">
        <f t="shared" si="3"/>
        <v>0</v>
      </c>
      <c r="K11" s="525"/>
      <c r="L11" s="526">
        <f t="shared" si="4"/>
        <v>0</v>
      </c>
      <c r="M11" s="525">
        <v>3</v>
      </c>
      <c r="N11" s="532">
        <f t="shared" si="5"/>
        <v>390</v>
      </c>
      <c r="O11" s="525">
        <v>4</v>
      </c>
      <c r="P11" s="532">
        <f t="shared" si="6"/>
        <v>520</v>
      </c>
      <c r="Q11" s="525">
        <v>4</v>
      </c>
      <c r="R11" s="532">
        <f t="shared" si="7"/>
        <v>520</v>
      </c>
      <c r="S11" s="525">
        <v>3</v>
      </c>
      <c r="T11" s="532">
        <f t="shared" si="32"/>
        <v>390</v>
      </c>
      <c r="U11" s="532">
        <f t="shared" si="8"/>
        <v>1820</v>
      </c>
      <c r="V11" s="525">
        <v>3</v>
      </c>
      <c r="W11" s="532">
        <f t="shared" si="9"/>
        <v>390</v>
      </c>
      <c r="X11" s="525">
        <v>3</v>
      </c>
      <c r="Y11" s="532">
        <f t="shared" si="33"/>
        <v>390</v>
      </c>
      <c r="Z11" s="525">
        <v>2</v>
      </c>
      <c r="AA11" s="532">
        <f t="shared" si="10"/>
        <v>260</v>
      </c>
      <c r="AB11" s="525">
        <v>2</v>
      </c>
      <c r="AC11" s="532">
        <f t="shared" si="11"/>
        <v>260</v>
      </c>
      <c r="AD11" s="525">
        <v>2</v>
      </c>
      <c r="AE11" s="532">
        <f t="shared" si="12"/>
        <v>260</v>
      </c>
      <c r="AF11" s="525">
        <v>2</v>
      </c>
      <c r="AG11" s="532">
        <f t="shared" si="34"/>
        <v>260</v>
      </c>
      <c r="AH11" s="525">
        <v>2</v>
      </c>
      <c r="AI11" s="532">
        <f t="shared" si="13"/>
        <v>260</v>
      </c>
      <c r="AJ11" s="525">
        <v>2</v>
      </c>
      <c r="AK11" s="532">
        <f t="shared" si="14"/>
        <v>260</v>
      </c>
      <c r="AL11" s="525">
        <v>2</v>
      </c>
      <c r="AM11" s="532">
        <f t="shared" si="15"/>
        <v>260</v>
      </c>
      <c r="AN11" s="525">
        <v>2</v>
      </c>
      <c r="AO11" s="532">
        <f t="shared" si="16"/>
        <v>260</v>
      </c>
      <c r="AP11" s="525">
        <v>3</v>
      </c>
      <c r="AQ11" s="532">
        <f t="shared" si="17"/>
        <v>390</v>
      </c>
      <c r="AR11" s="525">
        <v>2</v>
      </c>
      <c r="AS11" s="532">
        <f t="shared" si="18"/>
        <v>260</v>
      </c>
      <c r="AT11" s="532">
        <f t="shared" si="19"/>
        <v>3510</v>
      </c>
      <c r="AU11" s="525">
        <v>3</v>
      </c>
      <c r="AV11" s="534">
        <f t="shared" si="20"/>
        <v>390</v>
      </c>
      <c r="AW11" s="525">
        <v>3</v>
      </c>
      <c r="AX11" s="534">
        <f t="shared" si="21"/>
        <v>390</v>
      </c>
      <c r="AY11" s="525">
        <v>1</v>
      </c>
      <c r="AZ11" s="534">
        <f t="shared" si="22"/>
        <v>130</v>
      </c>
      <c r="BA11" s="525">
        <v>1</v>
      </c>
      <c r="BB11" s="534">
        <f t="shared" si="23"/>
        <v>130</v>
      </c>
      <c r="BC11" s="525">
        <v>3</v>
      </c>
      <c r="BD11" s="534">
        <f t="shared" si="24"/>
        <v>390</v>
      </c>
      <c r="BE11" s="525">
        <v>3</v>
      </c>
      <c r="BF11" s="534">
        <f t="shared" si="25"/>
        <v>390</v>
      </c>
      <c r="BG11" s="525">
        <v>3</v>
      </c>
      <c r="BH11" s="534">
        <f t="shared" si="26"/>
        <v>390</v>
      </c>
      <c r="BI11" s="532">
        <f t="shared" si="27"/>
        <v>2210</v>
      </c>
      <c r="BJ11" s="532">
        <f t="shared" si="28"/>
        <v>1820</v>
      </c>
      <c r="BK11" s="532">
        <f t="shared" si="29"/>
        <v>3510</v>
      </c>
      <c r="BL11" s="532">
        <f t="shared" si="30"/>
        <v>2210</v>
      </c>
      <c r="BM11" s="532">
        <f t="shared" si="31"/>
        <v>7540</v>
      </c>
    </row>
    <row r="12" spans="1:65" s="2" customFormat="1" ht="30" x14ac:dyDescent="0.25">
      <c r="A12" s="527" t="s">
        <v>385</v>
      </c>
      <c r="B12" s="532">
        <v>130</v>
      </c>
      <c r="C12" s="525">
        <v>0</v>
      </c>
      <c r="D12" s="526">
        <f t="shared" si="0"/>
        <v>0</v>
      </c>
      <c r="E12" s="525"/>
      <c r="F12" s="526">
        <f t="shared" si="35"/>
        <v>0</v>
      </c>
      <c r="G12" s="525"/>
      <c r="H12" s="526">
        <f t="shared" si="2"/>
        <v>0</v>
      </c>
      <c r="I12" s="525"/>
      <c r="J12" s="526">
        <f t="shared" si="3"/>
        <v>0</v>
      </c>
      <c r="K12" s="525"/>
      <c r="L12" s="526">
        <f t="shared" si="4"/>
        <v>0</v>
      </c>
      <c r="M12" s="525">
        <v>3</v>
      </c>
      <c r="N12" s="532">
        <f t="shared" si="5"/>
        <v>390</v>
      </c>
      <c r="O12" s="525">
        <v>4</v>
      </c>
      <c r="P12" s="532">
        <f t="shared" si="6"/>
        <v>520</v>
      </c>
      <c r="Q12" s="525">
        <v>4</v>
      </c>
      <c r="R12" s="532">
        <f t="shared" si="7"/>
        <v>520</v>
      </c>
      <c r="S12" s="525">
        <v>3</v>
      </c>
      <c r="T12" s="532">
        <f t="shared" si="32"/>
        <v>390</v>
      </c>
      <c r="U12" s="532">
        <f t="shared" si="8"/>
        <v>1820</v>
      </c>
      <c r="V12" s="525">
        <v>3</v>
      </c>
      <c r="W12" s="532">
        <f t="shared" si="9"/>
        <v>390</v>
      </c>
      <c r="X12" s="525">
        <v>3</v>
      </c>
      <c r="Y12" s="532">
        <f t="shared" si="33"/>
        <v>390</v>
      </c>
      <c r="Z12" s="525">
        <v>2</v>
      </c>
      <c r="AA12" s="532">
        <f t="shared" si="10"/>
        <v>260</v>
      </c>
      <c r="AB12" s="525">
        <v>3</v>
      </c>
      <c r="AC12" s="532">
        <f t="shared" si="11"/>
        <v>390</v>
      </c>
      <c r="AD12" s="525">
        <v>2</v>
      </c>
      <c r="AE12" s="532">
        <f t="shared" si="12"/>
        <v>260</v>
      </c>
      <c r="AF12" s="525">
        <v>2</v>
      </c>
      <c r="AG12" s="532">
        <f t="shared" si="34"/>
        <v>260</v>
      </c>
      <c r="AH12" s="525">
        <v>2</v>
      </c>
      <c r="AI12" s="532">
        <f t="shared" si="13"/>
        <v>260</v>
      </c>
      <c r="AJ12" s="525">
        <v>2</v>
      </c>
      <c r="AK12" s="532">
        <f t="shared" si="14"/>
        <v>260</v>
      </c>
      <c r="AL12" s="525">
        <v>2</v>
      </c>
      <c r="AM12" s="532">
        <f t="shared" si="15"/>
        <v>260</v>
      </c>
      <c r="AN12" s="525">
        <v>2</v>
      </c>
      <c r="AO12" s="532">
        <f t="shared" si="16"/>
        <v>260</v>
      </c>
      <c r="AP12" s="525">
        <v>3</v>
      </c>
      <c r="AQ12" s="532">
        <f t="shared" si="17"/>
        <v>390</v>
      </c>
      <c r="AR12" s="525">
        <v>2</v>
      </c>
      <c r="AS12" s="532">
        <f t="shared" si="18"/>
        <v>260</v>
      </c>
      <c r="AT12" s="532">
        <f t="shared" si="19"/>
        <v>3640</v>
      </c>
      <c r="AU12" s="525">
        <v>3</v>
      </c>
      <c r="AV12" s="534">
        <f t="shared" si="20"/>
        <v>390</v>
      </c>
      <c r="AW12" s="525">
        <v>3</v>
      </c>
      <c r="AX12" s="534">
        <f t="shared" si="21"/>
        <v>390</v>
      </c>
      <c r="AY12" s="525">
        <v>1</v>
      </c>
      <c r="AZ12" s="534">
        <f t="shared" si="22"/>
        <v>130</v>
      </c>
      <c r="BA12" s="525">
        <v>1</v>
      </c>
      <c r="BB12" s="534">
        <f t="shared" si="23"/>
        <v>130</v>
      </c>
      <c r="BC12" s="525">
        <v>3</v>
      </c>
      <c r="BD12" s="534">
        <f t="shared" si="24"/>
        <v>390</v>
      </c>
      <c r="BE12" s="525">
        <v>3</v>
      </c>
      <c r="BF12" s="534">
        <f t="shared" si="25"/>
        <v>390</v>
      </c>
      <c r="BG12" s="525">
        <v>3</v>
      </c>
      <c r="BH12" s="534">
        <f t="shared" si="26"/>
        <v>390</v>
      </c>
      <c r="BI12" s="532">
        <f t="shared" si="27"/>
        <v>2210</v>
      </c>
      <c r="BJ12" s="532">
        <f t="shared" si="28"/>
        <v>1820</v>
      </c>
      <c r="BK12" s="532">
        <f t="shared" si="29"/>
        <v>3640</v>
      </c>
      <c r="BL12" s="532">
        <f t="shared" si="30"/>
        <v>2210</v>
      </c>
      <c r="BM12" s="532">
        <f t="shared" si="31"/>
        <v>7670</v>
      </c>
    </row>
    <row r="13" spans="1:65" s="2" customFormat="1" x14ac:dyDescent="0.25">
      <c r="A13" s="527" t="s">
        <v>386</v>
      </c>
      <c r="B13" s="532">
        <v>80</v>
      </c>
      <c r="C13" s="525">
        <v>0</v>
      </c>
      <c r="D13" s="526">
        <f t="shared" si="0"/>
        <v>0</v>
      </c>
      <c r="E13" s="525"/>
      <c r="F13" s="526">
        <f t="shared" si="35"/>
        <v>0</v>
      </c>
      <c r="G13" s="525"/>
      <c r="H13" s="526">
        <f t="shared" si="2"/>
        <v>0</v>
      </c>
      <c r="I13" s="525"/>
      <c r="J13" s="526">
        <f t="shared" si="3"/>
        <v>0</v>
      </c>
      <c r="K13" s="525"/>
      <c r="L13" s="526">
        <f t="shared" si="4"/>
        <v>0</v>
      </c>
      <c r="M13" s="525"/>
      <c r="N13" s="532">
        <f t="shared" si="5"/>
        <v>0</v>
      </c>
      <c r="O13" s="525"/>
      <c r="P13" s="532">
        <f t="shared" si="6"/>
        <v>0</v>
      </c>
      <c r="Q13" s="525"/>
      <c r="R13" s="532">
        <f t="shared" si="7"/>
        <v>0</v>
      </c>
      <c r="S13" s="525">
        <v>4</v>
      </c>
      <c r="T13" s="532">
        <f t="shared" si="32"/>
        <v>320</v>
      </c>
      <c r="U13" s="532">
        <f t="shared" si="8"/>
        <v>320</v>
      </c>
      <c r="V13" s="525">
        <v>3</v>
      </c>
      <c r="W13" s="532">
        <f t="shared" si="9"/>
        <v>240</v>
      </c>
      <c r="X13" s="525">
        <v>3</v>
      </c>
      <c r="Y13" s="532">
        <f t="shared" si="33"/>
        <v>240</v>
      </c>
      <c r="Z13" s="525">
        <v>3</v>
      </c>
      <c r="AA13" s="532">
        <f t="shared" si="10"/>
        <v>240</v>
      </c>
      <c r="AB13" s="525">
        <v>3</v>
      </c>
      <c r="AC13" s="532">
        <f t="shared" si="11"/>
        <v>240</v>
      </c>
      <c r="AD13" s="525">
        <v>3</v>
      </c>
      <c r="AE13" s="532">
        <f t="shared" si="12"/>
        <v>240</v>
      </c>
      <c r="AF13" s="525">
        <v>3</v>
      </c>
      <c r="AG13" s="532">
        <f t="shared" si="34"/>
        <v>240</v>
      </c>
      <c r="AH13" s="525">
        <v>3</v>
      </c>
      <c r="AI13" s="532">
        <f t="shared" si="13"/>
        <v>240</v>
      </c>
      <c r="AJ13" s="525">
        <v>3</v>
      </c>
      <c r="AK13" s="532">
        <f t="shared" si="14"/>
        <v>240</v>
      </c>
      <c r="AL13" s="525">
        <v>3</v>
      </c>
      <c r="AM13" s="532">
        <f t="shared" si="15"/>
        <v>240</v>
      </c>
      <c r="AN13" s="525">
        <v>3</v>
      </c>
      <c r="AO13" s="532">
        <f t="shared" si="16"/>
        <v>240</v>
      </c>
      <c r="AP13" s="525">
        <v>3</v>
      </c>
      <c r="AQ13" s="532">
        <f t="shared" si="17"/>
        <v>240</v>
      </c>
      <c r="AR13" s="525">
        <v>2</v>
      </c>
      <c r="AS13" s="532">
        <f t="shared" si="18"/>
        <v>160</v>
      </c>
      <c r="AT13" s="532">
        <f t="shared" si="19"/>
        <v>2800</v>
      </c>
      <c r="AU13" s="525">
        <v>5</v>
      </c>
      <c r="AV13" s="534">
        <f t="shared" si="20"/>
        <v>400</v>
      </c>
      <c r="AW13" s="525">
        <v>5</v>
      </c>
      <c r="AX13" s="534">
        <f t="shared" si="21"/>
        <v>400</v>
      </c>
      <c r="AY13" s="525">
        <v>1</v>
      </c>
      <c r="AZ13" s="534">
        <f t="shared" si="22"/>
        <v>80</v>
      </c>
      <c r="BA13" s="525">
        <v>1</v>
      </c>
      <c r="BB13" s="534">
        <f t="shared" si="23"/>
        <v>80</v>
      </c>
      <c r="BC13" s="525">
        <v>4</v>
      </c>
      <c r="BD13" s="534">
        <f t="shared" si="24"/>
        <v>320</v>
      </c>
      <c r="BE13" s="525">
        <v>4</v>
      </c>
      <c r="BF13" s="534">
        <f t="shared" si="25"/>
        <v>320</v>
      </c>
      <c r="BG13" s="525">
        <v>4</v>
      </c>
      <c r="BH13" s="534">
        <f t="shared" si="26"/>
        <v>320</v>
      </c>
      <c r="BI13" s="532">
        <f t="shared" si="27"/>
        <v>1920</v>
      </c>
      <c r="BJ13" s="532">
        <f t="shared" si="28"/>
        <v>320</v>
      </c>
      <c r="BK13" s="532">
        <f t="shared" si="29"/>
        <v>2800</v>
      </c>
      <c r="BL13" s="532">
        <f t="shared" si="30"/>
        <v>1920</v>
      </c>
      <c r="BM13" s="532">
        <f t="shared" si="31"/>
        <v>5040</v>
      </c>
    </row>
    <row r="14" spans="1:65" s="2" customFormat="1" ht="30" x14ac:dyDescent="0.25">
      <c r="A14" s="527" t="s">
        <v>388</v>
      </c>
      <c r="B14" s="532">
        <v>80</v>
      </c>
      <c r="C14" s="525">
        <v>0</v>
      </c>
      <c r="D14" s="526">
        <f t="shared" si="0"/>
        <v>0</v>
      </c>
      <c r="E14" s="525"/>
      <c r="F14" s="526">
        <f t="shared" si="35"/>
        <v>0</v>
      </c>
      <c r="G14" s="525"/>
      <c r="H14" s="526">
        <f t="shared" si="2"/>
        <v>0</v>
      </c>
      <c r="I14" s="525"/>
      <c r="J14" s="526">
        <f t="shared" si="3"/>
        <v>0</v>
      </c>
      <c r="K14" s="525"/>
      <c r="L14" s="526">
        <f t="shared" si="4"/>
        <v>0</v>
      </c>
      <c r="M14" s="525"/>
      <c r="N14" s="532">
        <f t="shared" si="5"/>
        <v>0</v>
      </c>
      <c r="O14" s="525"/>
      <c r="P14" s="532">
        <f t="shared" si="6"/>
        <v>0</v>
      </c>
      <c r="Q14" s="525"/>
      <c r="R14" s="532">
        <f t="shared" si="7"/>
        <v>0</v>
      </c>
      <c r="S14" s="525"/>
      <c r="T14" s="532">
        <f t="shared" si="32"/>
        <v>0</v>
      </c>
      <c r="U14" s="532"/>
      <c r="V14" s="525"/>
      <c r="W14" s="532">
        <f t="shared" si="9"/>
        <v>0</v>
      </c>
      <c r="X14" s="525"/>
      <c r="Y14" s="532">
        <f t="shared" si="33"/>
        <v>0</v>
      </c>
      <c r="Z14" s="525"/>
      <c r="AA14" s="532">
        <f t="shared" si="10"/>
        <v>0</v>
      </c>
      <c r="AB14" s="525"/>
      <c r="AC14" s="532">
        <f t="shared" si="11"/>
        <v>0</v>
      </c>
      <c r="AD14" s="525">
        <v>5</v>
      </c>
      <c r="AE14" s="532">
        <f t="shared" ref="AE14" si="36">+AD14*B14</f>
        <v>400</v>
      </c>
      <c r="AF14" s="525">
        <v>5</v>
      </c>
      <c r="AG14" s="532">
        <f>+AF14*B14</f>
        <v>400</v>
      </c>
      <c r="AH14" s="525">
        <v>5</v>
      </c>
      <c r="AI14" s="532">
        <f t="shared" ref="AI14" si="37">+AH14*B14</f>
        <v>400</v>
      </c>
      <c r="AJ14" s="525">
        <v>5</v>
      </c>
      <c r="AK14" s="532">
        <f t="shared" ref="AK14" si="38">+AJ14*B14</f>
        <v>400</v>
      </c>
      <c r="AL14" s="525">
        <v>6</v>
      </c>
      <c r="AM14" s="532">
        <f t="shared" ref="AM14" si="39">+AL14*B14</f>
        <v>480</v>
      </c>
      <c r="AN14" s="525">
        <v>5</v>
      </c>
      <c r="AO14" s="532">
        <f t="shared" ref="AO14" si="40">+AN14*B14</f>
        <v>400</v>
      </c>
      <c r="AP14" s="525">
        <v>5</v>
      </c>
      <c r="AQ14" s="532">
        <f t="shared" ref="AQ14" si="41">+AP14*B14</f>
        <v>400</v>
      </c>
      <c r="AR14" s="525">
        <v>4</v>
      </c>
      <c r="AS14" s="532">
        <f t="shared" ref="AS14" si="42">+AR14*B14</f>
        <v>320</v>
      </c>
      <c r="AT14" s="532">
        <f t="shared" ref="AT14" si="43">+AS14+AQ14+AO14+AM14+AK14+AI14+AG14+AE14+AC14+AA14+Y14+W14</f>
        <v>3200</v>
      </c>
      <c r="AU14" s="525">
        <v>5</v>
      </c>
      <c r="AV14" s="534">
        <f t="shared" ref="AV14" si="44">+AU14*B14</f>
        <v>400</v>
      </c>
      <c r="AW14" s="525">
        <v>5</v>
      </c>
      <c r="AX14" s="534">
        <f t="shared" ref="AX14" si="45">+AW14*B14</f>
        <v>400</v>
      </c>
      <c r="AY14" s="525">
        <v>2</v>
      </c>
      <c r="AZ14" s="534">
        <f t="shared" ref="AZ14" si="46">+AY14*B14</f>
        <v>160</v>
      </c>
      <c r="BA14" s="525">
        <v>2</v>
      </c>
      <c r="BB14" s="534">
        <f t="shared" ref="BB14" si="47">+BA14*B14</f>
        <v>160</v>
      </c>
      <c r="BC14" s="525">
        <v>5</v>
      </c>
      <c r="BD14" s="534">
        <f t="shared" ref="BD14" si="48">+BC14*B14</f>
        <v>400</v>
      </c>
      <c r="BE14" s="525">
        <v>5</v>
      </c>
      <c r="BF14" s="534">
        <f t="shared" ref="BF14" si="49">+BE14*B14</f>
        <v>400</v>
      </c>
      <c r="BG14" s="525">
        <v>5</v>
      </c>
      <c r="BH14" s="534">
        <f t="shared" ref="BH14" si="50">+BG14*B14</f>
        <v>400</v>
      </c>
      <c r="BI14" s="532">
        <f t="shared" ref="BI14" si="51">+BH14+BF14+BD14+BB14+AZ14+AX14+AV14</f>
        <v>2320</v>
      </c>
      <c r="BJ14" s="532">
        <f t="shared" ref="BJ14" si="52">+U14</f>
        <v>0</v>
      </c>
      <c r="BK14" s="532">
        <f t="shared" ref="BK14" si="53">+AT14</f>
        <v>3200</v>
      </c>
      <c r="BL14" s="532">
        <f t="shared" ref="BL14" si="54">+BI14</f>
        <v>2320</v>
      </c>
      <c r="BM14" s="532">
        <f t="shared" ref="BM14" si="55">SUM(BJ14:BL14)</f>
        <v>5520</v>
      </c>
    </row>
    <row r="15" spans="1:65" s="2" customFormat="1" ht="30" x14ac:dyDescent="0.25">
      <c r="A15" s="527" t="s">
        <v>389</v>
      </c>
      <c r="B15" s="532">
        <v>80</v>
      </c>
      <c r="C15" s="525">
        <v>0</v>
      </c>
      <c r="D15" s="526">
        <f t="shared" si="0"/>
        <v>0</v>
      </c>
      <c r="E15" s="525"/>
      <c r="F15" s="526">
        <f t="shared" si="35"/>
        <v>0</v>
      </c>
      <c r="G15" s="525"/>
      <c r="H15" s="526">
        <f t="shared" si="2"/>
        <v>0</v>
      </c>
      <c r="I15" s="525"/>
      <c r="J15" s="526">
        <f t="shared" si="3"/>
        <v>0</v>
      </c>
      <c r="K15" s="525"/>
      <c r="L15" s="526">
        <f t="shared" si="4"/>
        <v>0</v>
      </c>
      <c r="M15" s="525">
        <v>0</v>
      </c>
      <c r="N15" s="532">
        <f t="shared" si="5"/>
        <v>0</v>
      </c>
      <c r="O15" s="525"/>
      <c r="P15" s="532">
        <f t="shared" si="6"/>
        <v>0</v>
      </c>
      <c r="Q15" s="525">
        <v>2</v>
      </c>
      <c r="R15" s="532">
        <f t="shared" si="7"/>
        <v>160</v>
      </c>
      <c r="S15" s="525">
        <v>2</v>
      </c>
      <c r="T15" s="532">
        <f t="shared" si="32"/>
        <v>160</v>
      </c>
      <c r="U15" s="532">
        <f>+T15+R15+P15+N15+L15+J15+H15+F15</f>
        <v>320</v>
      </c>
      <c r="V15" s="525"/>
      <c r="W15" s="532">
        <f t="shared" si="9"/>
        <v>0</v>
      </c>
      <c r="X15" s="525">
        <v>2</v>
      </c>
      <c r="Y15" s="532">
        <f t="shared" si="33"/>
        <v>160</v>
      </c>
      <c r="Z15" s="525"/>
      <c r="AA15" s="532">
        <f t="shared" si="10"/>
        <v>0</v>
      </c>
      <c r="AB15" s="525"/>
      <c r="AC15" s="532">
        <f t="shared" si="11"/>
        <v>0</v>
      </c>
      <c r="AD15" s="525">
        <v>2</v>
      </c>
      <c r="AE15" s="532">
        <f t="shared" si="12"/>
        <v>160</v>
      </c>
      <c r="AF15" s="525"/>
      <c r="AG15" s="532">
        <f t="shared" si="34"/>
        <v>0</v>
      </c>
      <c r="AH15" s="525"/>
      <c r="AI15" s="532">
        <f t="shared" si="13"/>
        <v>0</v>
      </c>
      <c r="AJ15" s="525"/>
      <c r="AK15" s="532">
        <f t="shared" si="14"/>
        <v>0</v>
      </c>
      <c r="AL15" s="525">
        <v>2</v>
      </c>
      <c r="AM15" s="532">
        <f t="shared" si="15"/>
        <v>160</v>
      </c>
      <c r="AN15" s="525">
        <v>2</v>
      </c>
      <c r="AO15" s="532">
        <f t="shared" si="16"/>
        <v>160</v>
      </c>
      <c r="AP15" s="525">
        <v>2</v>
      </c>
      <c r="AQ15" s="532">
        <f t="shared" si="17"/>
        <v>160</v>
      </c>
      <c r="AR15" s="525"/>
      <c r="AS15" s="532">
        <f>+AR15*B15</f>
        <v>0</v>
      </c>
      <c r="AT15" s="532">
        <f t="shared" si="19"/>
        <v>800</v>
      </c>
      <c r="AU15" s="525"/>
      <c r="AV15" s="534">
        <f t="shared" si="20"/>
        <v>0</v>
      </c>
      <c r="AW15" s="525">
        <v>2</v>
      </c>
      <c r="AX15" s="534">
        <f t="shared" si="21"/>
        <v>160</v>
      </c>
      <c r="AY15" s="525"/>
      <c r="AZ15" s="534">
        <f t="shared" si="22"/>
        <v>0</v>
      </c>
      <c r="BA15" s="525"/>
      <c r="BB15" s="534">
        <f t="shared" si="23"/>
        <v>0</v>
      </c>
      <c r="BC15" s="525"/>
      <c r="BD15" s="534">
        <f t="shared" si="24"/>
        <v>0</v>
      </c>
      <c r="BE15" s="525">
        <v>2</v>
      </c>
      <c r="BF15" s="534">
        <f t="shared" si="25"/>
        <v>160</v>
      </c>
      <c r="BG15" s="525"/>
      <c r="BH15" s="534"/>
      <c r="BI15" s="532">
        <f t="shared" si="27"/>
        <v>320</v>
      </c>
      <c r="BJ15" s="532">
        <f t="shared" si="28"/>
        <v>320</v>
      </c>
      <c r="BK15" s="532">
        <f t="shared" si="29"/>
        <v>800</v>
      </c>
      <c r="BL15" s="532">
        <f t="shared" si="30"/>
        <v>320</v>
      </c>
      <c r="BM15" s="532">
        <f t="shared" si="31"/>
        <v>1440</v>
      </c>
    </row>
    <row r="16" spans="1:65" x14ac:dyDescent="0.25">
      <c r="A16" s="528"/>
      <c r="B16" s="529"/>
      <c r="C16" s="530"/>
      <c r="D16" s="531">
        <f>SUM(D7:D15)</f>
        <v>0</v>
      </c>
      <c r="E16" s="530"/>
      <c r="F16" s="531">
        <f>SUM(F7:F15)</f>
        <v>0</v>
      </c>
      <c r="G16" s="530"/>
      <c r="H16" s="531">
        <f>SUM(H7:H15)</f>
        <v>0</v>
      </c>
      <c r="I16" s="530"/>
      <c r="J16" s="531">
        <f>SUM(J7:J15)</f>
        <v>0</v>
      </c>
      <c r="K16" s="530"/>
      <c r="L16" s="531">
        <f>SUM(L7:L15)</f>
        <v>0</v>
      </c>
      <c r="M16" s="530"/>
      <c r="N16" s="533">
        <f>SUM(N7:N15)</f>
        <v>3060</v>
      </c>
      <c r="O16" s="530"/>
      <c r="P16" s="533">
        <f>SUM(P7:P15)</f>
        <v>3310</v>
      </c>
      <c r="Q16" s="530"/>
      <c r="R16" s="533">
        <f>SUM(R7:R15)</f>
        <v>3470</v>
      </c>
      <c r="S16" s="530"/>
      <c r="T16" s="533">
        <f>SUM(T7:T15)</f>
        <v>3410</v>
      </c>
      <c r="U16" s="533">
        <f>SUM(U7:U15)</f>
        <v>13250</v>
      </c>
      <c r="V16" s="530"/>
      <c r="W16" s="533">
        <f>SUM(W7:W15)</f>
        <v>2680</v>
      </c>
      <c r="X16" s="530"/>
      <c r="Y16" s="533">
        <f>SUM(Y7:Y15)</f>
        <v>3090</v>
      </c>
      <c r="Z16" s="530"/>
      <c r="AA16" s="533">
        <f>SUM(AA7:AA15)</f>
        <v>2290</v>
      </c>
      <c r="AB16" s="530"/>
      <c r="AC16" s="533">
        <f>SUM(AC7:AC15)</f>
        <v>2420</v>
      </c>
      <c r="AD16" s="530"/>
      <c r="AE16" s="533">
        <f>SUM(AE7:AE15)</f>
        <v>3010</v>
      </c>
      <c r="AF16" s="530"/>
      <c r="AG16" s="533">
        <f>SUM(AG7:AG15)</f>
        <v>2850</v>
      </c>
      <c r="AH16" s="530"/>
      <c r="AI16" s="533">
        <f>SUM(AI7:AI15)</f>
        <v>2850</v>
      </c>
      <c r="AJ16" s="530"/>
      <c r="AK16" s="533">
        <f>SUM(AK7:AK15)</f>
        <v>2850</v>
      </c>
      <c r="AL16" s="530"/>
      <c r="AM16" s="533">
        <f>SUM(AM7:AM15)</f>
        <v>3220</v>
      </c>
      <c r="AN16" s="530"/>
      <c r="AO16" s="533">
        <f>SUM(AO7:AO15)</f>
        <v>3140</v>
      </c>
      <c r="AP16" s="530"/>
      <c r="AQ16" s="533">
        <f>SUM(AQ7:AQ15)</f>
        <v>3270</v>
      </c>
      <c r="AR16" s="530"/>
      <c r="AS16" s="533">
        <f>SUM(AS7:AS15)</f>
        <v>2560</v>
      </c>
      <c r="AT16" s="533">
        <f>SUM(W16:AS16)</f>
        <v>34230</v>
      </c>
      <c r="AU16" s="530"/>
      <c r="AV16" s="535">
        <f>SUM(AV7:AV15)</f>
        <v>3270</v>
      </c>
      <c r="AW16" s="530"/>
      <c r="AX16" s="535">
        <f>SUM(AX7:AX15)</f>
        <v>3310</v>
      </c>
      <c r="AY16" s="530"/>
      <c r="AZ16" s="535">
        <f>SUM(AZ7:AZ15)</f>
        <v>1560</v>
      </c>
      <c r="BA16" s="530"/>
      <c r="BB16" s="535">
        <f>SUM(BB7:BB15)</f>
        <v>1300</v>
      </c>
      <c r="BC16" s="530"/>
      <c r="BD16" s="535">
        <f>SUM(BD7:BD15)</f>
        <v>3320</v>
      </c>
      <c r="BE16" s="530"/>
      <c r="BF16" s="535">
        <f>SUM(BF7:BF15)</f>
        <v>3480</v>
      </c>
      <c r="BG16" s="530"/>
      <c r="BH16" s="535">
        <f t="shared" ref="BH16:BM16" si="56">SUM(BH7:BH15)</f>
        <v>3190</v>
      </c>
      <c r="BI16" s="533">
        <f t="shared" si="56"/>
        <v>19430</v>
      </c>
      <c r="BJ16" s="533">
        <f t="shared" si="56"/>
        <v>13250</v>
      </c>
      <c r="BK16" s="533">
        <f t="shared" si="56"/>
        <v>34230</v>
      </c>
      <c r="BL16" s="533">
        <f t="shared" si="56"/>
        <v>19430</v>
      </c>
      <c r="BM16" s="537">
        <f t="shared" si="56"/>
        <v>66910</v>
      </c>
    </row>
    <row r="17" spans="1:6" x14ac:dyDescent="0.25">
      <c r="A17" s="571" t="s">
        <v>438</v>
      </c>
    </row>
    <row r="18" spans="1:6" x14ac:dyDescent="0.25">
      <c r="A18" s="536" t="s">
        <v>392</v>
      </c>
    </row>
    <row r="19" spans="1:6" x14ac:dyDescent="0.25">
      <c r="A19" t="s">
        <v>398</v>
      </c>
    </row>
    <row r="20" spans="1:6" x14ac:dyDescent="0.25">
      <c r="A20" t="s">
        <v>393</v>
      </c>
    </row>
    <row r="21" spans="1:6" x14ac:dyDescent="0.25">
      <c r="A21" t="s">
        <v>425</v>
      </c>
    </row>
    <row r="23" spans="1:6" x14ac:dyDescent="0.25">
      <c r="E23">
        <f>21*90</f>
        <v>1890</v>
      </c>
      <c r="F23">
        <f>+E23/120</f>
        <v>15.75</v>
      </c>
    </row>
    <row r="27" spans="1:6" x14ac:dyDescent="0.25">
      <c r="C27" t="s">
        <v>387</v>
      </c>
    </row>
  </sheetData>
  <mergeCells count="44">
    <mergeCell ref="BJ5:BJ6"/>
    <mergeCell ref="BK5:BK6"/>
    <mergeCell ref="BL5:BL6"/>
    <mergeCell ref="BM5:BM6"/>
    <mergeCell ref="AY5:AZ5"/>
    <mergeCell ref="BA5:BB5"/>
    <mergeCell ref="BC5:BD5"/>
    <mergeCell ref="BE5:BF5"/>
    <mergeCell ref="BG5:BH5"/>
    <mergeCell ref="BI5:BI6"/>
    <mergeCell ref="X5:Y5"/>
    <mergeCell ref="AW5:AX5"/>
    <mergeCell ref="AB5:AC5"/>
    <mergeCell ref="AD5:AE5"/>
    <mergeCell ref="AF5:AG5"/>
    <mergeCell ref="AH5:AI5"/>
    <mergeCell ref="AJ5:AK5"/>
    <mergeCell ref="AL5:AM5"/>
    <mergeCell ref="AN5:AO5"/>
    <mergeCell ref="AP5:AQ5"/>
    <mergeCell ref="AR5:AS5"/>
    <mergeCell ref="AT5:AT6"/>
    <mergeCell ref="AU5:AV5"/>
    <mergeCell ref="O5:P5"/>
    <mergeCell ref="Q5:R5"/>
    <mergeCell ref="S5:T5"/>
    <mergeCell ref="U5:U6"/>
    <mergeCell ref="V5:W5"/>
    <mergeCell ref="B2:T2"/>
    <mergeCell ref="AD2:AV2"/>
    <mergeCell ref="B5:B6"/>
    <mergeCell ref="B3:T3"/>
    <mergeCell ref="V3:AS3"/>
    <mergeCell ref="AU3:BH3"/>
    <mergeCell ref="Z5:AA5"/>
    <mergeCell ref="C4:T4"/>
    <mergeCell ref="V4:AS4"/>
    <mergeCell ref="AU4:BH4"/>
    <mergeCell ref="C5:D5"/>
    <mergeCell ref="E5:F5"/>
    <mergeCell ref="G5:H5"/>
    <mergeCell ref="I5:J5"/>
    <mergeCell ref="K5:L5"/>
    <mergeCell ref="M5:N5"/>
  </mergeCells>
  <pageMargins left="0.70866141732283472" right="0.70866141732283472" top="0.74803149606299213" bottom="0.74803149606299213" header="0.31496062992125984" footer="0.31496062992125984"/>
  <pageSetup paperSize="9" scale="47" fitToWidth="2"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pageSetUpPr fitToPage="1"/>
  </sheetPr>
  <dimension ref="B2:T6"/>
  <sheetViews>
    <sheetView view="pageBreakPreview" zoomScale="60" zoomScaleNormal="100" workbookViewId="0">
      <selection activeCell="M8" sqref="M8"/>
    </sheetView>
  </sheetViews>
  <sheetFormatPr baseColWidth="10" defaultRowHeight="15" x14ac:dyDescent="0.25"/>
  <cols>
    <col min="2" max="2" width="17.140625" customWidth="1"/>
    <col min="3" max="3" width="18.7109375" customWidth="1"/>
    <col min="4" max="4" width="8.140625" customWidth="1"/>
    <col min="5" max="5" width="11" customWidth="1"/>
    <col min="6" max="6" width="8.140625" customWidth="1"/>
    <col min="7" max="7" width="11" customWidth="1"/>
    <col min="8" max="8" width="8.140625" customWidth="1"/>
    <col min="9" max="9" width="11" customWidth="1"/>
    <col min="10" max="10" width="8.140625" customWidth="1"/>
    <col min="11" max="11" width="11" customWidth="1"/>
    <col min="12" max="12" width="8.140625" customWidth="1"/>
    <col min="13" max="13" width="11" customWidth="1"/>
    <col min="14" max="14" width="8.140625" customWidth="1"/>
    <col min="15" max="15" width="11" customWidth="1"/>
    <col min="16" max="16" width="8.140625" customWidth="1"/>
    <col min="17" max="17" width="11" customWidth="1"/>
    <col min="18" max="18" width="8.140625" customWidth="1"/>
    <col min="19" max="19" width="11" customWidth="1"/>
    <col min="20" max="20" width="15.85546875" customWidth="1"/>
  </cols>
  <sheetData>
    <row r="2" spans="2:20" x14ac:dyDescent="0.25">
      <c r="B2" s="6" t="s">
        <v>424</v>
      </c>
      <c r="F2" s="6" t="s">
        <v>458</v>
      </c>
      <c r="G2" s="6"/>
      <c r="H2" s="6"/>
      <c r="I2" s="6"/>
      <c r="J2" s="6"/>
    </row>
    <row r="4" spans="2:20" x14ac:dyDescent="0.25">
      <c r="B4" s="1029" t="s">
        <v>456</v>
      </c>
      <c r="C4" s="1031" t="s">
        <v>455</v>
      </c>
      <c r="D4" s="1032">
        <v>43709</v>
      </c>
      <c r="E4" s="1033"/>
      <c r="F4" s="1032">
        <v>43739</v>
      </c>
      <c r="G4" s="1033"/>
      <c r="H4" s="1032">
        <v>43770</v>
      </c>
      <c r="I4" s="1033"/>
      <c r="J4" s="1032">
        <v>43800</v>
      </c>
      <c r="K4" s="1033"/>
      <c r="L4" s="1032">
        <v>43831</v>
      </c>
      <c r="M4" s="1033"/>
      <c r="N4" s="1032">
        <v>43862</v>
      </c>
      <c r="O4" s="1033"/>
      <c r="P4" s="1032">
        <v>43891</v>
      </c>
      <c r="Q4" s="1033"/>
      <c r="R4" s="1032">
        <v>43922</v>
      </c>
      <c r="S4" s="1033"/>
      <c r="T4" s="647"/>
    </row>
    <row r="5" spans="2:20" ht="59.25" customHeight="1" x14ac:dyDescent="0.25">
      <c r="B5" s="1030"/>
      <c r="C5" s="1031"/>
      <c r="D5" s="649" t="s">
        <v>457</v>
      </c>
      <c r="E5" s="649" t="s">
        <v>379</v>
      </c>
      <c r="F5" s="649" t="s">
        <v>457</v>
      </c>
      <c r="G5" s="649" t="s">
        <v>379</v>
      </c>
      <c r="H5" s="649" t="s">
        <v>457</v>
      </c>
      <c r="I5" s="649" t="s">
        <v>379</v>
      </c>
      <c r="J5" s="649" t="s">
        <v>457</v>
      </c>
      <c r="K5" s="649" t="s">
        <v>379</v>
      </c>
      <c r="L5" s="649" t="s">
        <v>457</v>
      </c>
      <c r="M5" s="649" t="s">
        <v>379</v>
      </c>
      <c r="N5" s="649" t="s">
        <v>457</v>
      </c>
      <c r="O5" s="649" t="s">
        <v>379</v>
      </c>
      <c r="P5" s="649" t="s">
        <v>457</v>
      </c>
      <c r="Q5" s="649" t="s">
        <v>379</v>
      </c>
      <c r="R5" s="649" t="s">
        <v>457</v>
      </c>
      <c r="S5" s="649" t="s">
        <v>379</v>
      </c>
      <c r="T5" s="650" t="s">
        <v>459</v>
      </c>
    </row>
    <row r="6" spans="2:20" ht="30" x14ac:dyDescent="0.25">
      <c r="B6" s="648" t="s">
        <v>454</v>
      </c>
      <c r="C6" s="565">
        <v>140</v>
      </c>
      <c r="D6" s="647">
        <v>14</v>
      </c>
      <c r="E6" s="565">
        <f>+D6*C6</f>
        <v>1960</v>
      </c>
      <c r="F6" s="647">
        <v>14</v>
      </c>
      <c r="G6" s="565">
        <f>+F6*C6</f>
        <v>1960</v>
      </c>
      <c r="H6" s="647">
        <v>14</v>
      </c>
      <c r="I6" s="565">
        <f>+H6*C6</f>
        <v>1960</v>
      </c>
      <c r="J6" s="647">
        <v>13</v>
      </c>
      <c r="K6" s="565">
        <f>+J6*C6</f>
        <v>1820</v>
      </c>
      <c r="L6" s="647">
        <v>14</v>
      </c>
      <c r="M6" s="565">
        <f>+L6*C6</f>
        <v>1960</v>
      </c>
      <c r="N6" s="647">
        <v>14</v>
      </c>
      <c r="O6" s="565">
        <f>+N6*C6</f>
        <v>1960</v>
      </c>
      <c r="P6" s="647">
        <v>14</v>
      </c>
      <c r="Q6" s="565">
        <f>+P6*C6</f>
        <v>1960</v>
      </c>
      <c r="R6" s="647">
        <v>14</v>
      </c>
      <c r="S6" s="565">
        <f>+R6*C6</f>
        <v>1960</v>
      </c>
      <c r="T6" s="651">
        <f>+S6+Q6+O6+M6+K6+I6+G6+E6</f>
        <v>15540</v>
      </c>
    </row>
  </sheetData>
  <mergeCells count="10">
    <mergeCell ref="B4:B5"/>
    <mergeCell ref="C4:C5"/>
    <mergeCell ref="R4:S4"/>
    <mergeCell ref="P4:Q4"/>
    <mergeCell ref="N4:O4"/>
    <mergeCell ref="L4:M4"/>
    <mergeCell ref="J4:K4"/>
    <mergeCell ref="H4:I4"/>
    <mergeCell ref="F4:G4"/>
    <mergeCell ref="D4:E4"/>
  </mergeCells>
  <pageMargins left="0.70866141732283472" right="0.70866141732283472" top="0.74803149606299213" bottom="0.74803149606299213" header="0.31496062992125984" footer="0.31496062992125984"/>
  <pageSetup paperSize="9" scale="63"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pageSetUpPr fitToPage="1"/>
  </sheetPr>
  <dimension ref="C1:G14"/>
  <sheetViews>
    <sheetView view="pageBreakPreview" zoomScale="60" zoomScaleNormal="100" workbookViewId="0">
      <selection activeCell="C16" sqref="C16"/>
    </sheetView>
  </sheetViews>
  <sheetFormatPr baseColWidth="10" defaultRowHeight="15" x14ac:dyDescent="0.25"/>
  <cols>
    <col min="3" max="3" width="33" customWidth="1"/>
    <col min="4" max="4" width="25.140625" customWidth="1"/>
    <col min="5" max="5" width="13.28515625" customWidth="1"/>
    <col min="6" max="6" width="17.5703125" customWidth="1"/>
    <col min="7" max="7" width="15" customWidth="1"/>
  </cols>
  <sheetData>
    <row r="1" spans="3:7" x14ac:dyDescent="0.25">
      <c r="C1" s="6" t="s">
        <v>453</v>
      </c>
    </row>
    <row r="2" spans="3:7" ht="15.75" x14ac:dyDescent="0.25">
      <c r="C2" s="1050" t="s">
        <v>413</v>
      </c>
      <c r="D2" s="1050"/>
      <c r="E2" s="1050"/>
      <c r="F2" s="1050"/>
      <c r="G2" s="1050"/>
    </row>
    <row r="3" spans="3:7" ht="16.5" thickBot="1" x14ac:dyDescent="0.3">
      <c r="C3" s="1053" t="s">
        <v>417</v>
      </c>
      <c r="D3" s="1053"/>
      <c r="E3" s="1053"/>
      <c r="F3" s="1053"/>
      <c r="G3" s="1053"/>
    </row>
    <row r="4" spans="3:7" x14ac:dyDescent="0.25">
      <c r="C4" s="1051" t="s">
        <v>414</v>
      </c>
      <c r="D4" s="1052"/>
      <c r="E4" s="562" t="s">
        <v>399</v>
      </c>
      <c r="F4" s="560" t="s">
        <v>400</v>
      </c>
      <c r="G4" s="561" t="s">
        <v>401</v>
      </c>
    </row>
    <row r="5" spans="3:7" ht="30" x14ac:dyDescent="0.25">
      <c r="C5" s="652" t="s">
        <v>408</v>
      </c>
      <c r="D5" s="543" t="s">
        <v>415</v>
      </c>
      <c r="E5" s="542">
        <v>17</v>
      </c>
      <c r="F5" s="563">
        <v>50</v>
      </c>
      <c r="G5" s="564">
        <f t="shared" ref="G5:G12" si="0">+E5*F5</f>
        <v>850</v>
      </c>
    </row>
    <row r="6" spans="3:7" ht="15.75" x14ac:dyDescent="0.25">
      <c r="C6" s="652" t="s">
        <v>409</v>
      </c>
      <c r="D6" s="543" t="s">
        <v>410</v>
      </c>
      <c r="E6" s="542">
        <v>2</v>
      </c>
      <c r="F6" s="563">
        <v>1300</v>
      </c>
      <c r="G6" s="564">
        <f t="shared" si="0"/>
        <v>2600</v>
      </c>
    </row>
    <row r="7" spans="3:7" ht="30" customHeight="1" x14ac:dyDescent="0.25">
      <c r="C7" s="653" t="s">
        <v>402</v>
      </c>
      <c r="D7" s="548" t="s">
        <v>415</v>
      </c>
      <c r="E7" s="542">
        <v>1</v>
      </c>
      <c r="F7" s="565">
        <f>75*4*16</f>
        <v>4800</v>
      </c>
      <c r="G7" s="564">
        <f t="shared" si="0"/>
        <v>4800</v>
      </c>
    </row>
    <row r="8" spans="3:7" ht="15.75" x14ac:dyDescent="0.25">
      <c r="C8" s="653" t="s">
        <v>403</v>
      </c>
      <c r="D8" s="543" t="s">
        <v>406</v>
      </c>
      <c r="E8" s="544">
        <v>1</v>
      </c>
      <c r="F8" s="563">
        <v>1500</v>
      </c>
      <c r="G8" s="564">
        <f t="shared" si="0"/>
        <v>1500</v>
      </c>
    </row>
    <row r="9" spans="3:7" ht="15.75" x14ac:dyDescent="0.25">
      <c r="C9" s="653" t="s">
        <v>407</v>
      </c>
      <c r="D9" s="543"/>
      <c r="E9" s="544">
        <v>1</v>
      </c>
      <c r="F9" s="563">
        <f>35*16</f>
        <v>560</v>
      </c>
      <c r="G9" s="564">
        <f t="shared" si="0"/>
        <v>560</v>
      </c>
    </row>
    <row r="10" spans="3:7" ht="15.75" x14ac:dyDescent="0.25">
      <c r="C10" s="653" t="s">
        <v>412</v>
      </c>
      <c r="D10" s="543"/>
      <c r="E10" s="544">
        <v>2</v>
      </c>
      <c r="F10" s="563">
        <v>85</v>
      </c>
      <c r="G10" s="564">
        <f t="shared" si="0"/>
        <v>170</v>
      </c>
    </row>
    <row r="11" spans="3:7" ht="15.75" x14ac:dyDescent="0.25">
      <c r="C11" s="653" t="s">
        <v>411</v>
      </c>
      <c r="D11" s="543"/>
      <c r="E11" s="542">
        <v>1</v>
      </c>
      <c r="F11" s="563">
        <f>60*17</f>
        <v>1020</v>
      </c>
      <c r="G11" s="564">
        <f t="shared" si="0"/>
        <v>1020</v>
      </c>
    </row>
    <row r="12" spans="3:7" ht="30" x14ac:dyDescent="0.25">
      <c r="C12" s="541" t="s">
        <v>404</v>
      </c>
      <c r="D12" s="543" t="s">
        <v>415</v>
      </c>
      <c r="E12" s="544">
        <v>1</v>
      </c>
      <c r="F12" s="563">
        <v>3000</v>
      </c>
      <c r="G12" s="564">
        <f t="shared" si="0"/>
        <v>3000</v>
      </c>
    </row>
    <row r="13" spans="3:7" ht="15.75" thickBot="1" x14ac:dyDescent="0.3">
      <c r="C13" s="545"/>
      <c r="D13" s="546"/>
      <c r="E13" s="547"/>
      <c r="F13" s="566"/>
      <c r="G13" s="567">
        <f>SUM(G5:G12)</f>
        <v>14500</v>
      </c>
    </row>
    <row r="14" spans="3:7" x14ac:dyDescent="0.25">
      <c r="C14" s="549" t="s">
        <v>416</v>
      </c>
    </row>
  </sheetData>
  <mergeCells count="3">
    <mergeCell ref="C2:G2"/>
    <mergeCell ref="C4:D4"/>
    <mergeCell ref="C3:G3"/>
  </mergeCells>
  <pageMargins left="1" right="1" top="1" bottom="1" header="0.5" footer="0.5"/>
  <pageSetup paperSize="9" scale="89"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dimension ref="A1:DU128"/>
  <sheetViews>
    <sheetView workbookViewId="0">
      <selection sqref="A1:XFD1048576"/>
    </sheetView>
  </sheetViews>
  <sheetFormatPr baseColWidth="10" defaultRowHeight="15" outlineLevelCol="2" x14ac:dyDescent="0.25"/>
  <cols>
    <col min="1" max="1" width="4.5703125" style="2" customWidth="1"/>
    <col min="2" max="2" width="5" customWidth="1"/>
    <col min="3" max="3" width="19.7109375" customWidth="1"/>
    <col min="4" max="4" width="47.28515625" customWidth="1"/>
    <col min="5" max="5" width="25.85546875" customWidth="1"/>
    <col min="6" max="6" width="21.140625" customWidth="1" outlineLevel="1"/>
    <col min="7" max="8" width="18.85546875" customWidth="1" outlineLevel="1"/>
    <col min="9" max="10" width="17.7109375" customWidth="1" outlineLevel="1"/>
    <col min="11" max="11" width="16.28515625" customWidth="1" outlineLevel="1" collapsed="1"/>
    <col min="12" max="12" width="16.28515625" style="5" customWidth="1" outlineLevel="2"/>
    <col min="13" max="14" width="17.42578125" style="5" customWidth="1" outlineLevel="2"/>
    <col min="15" max="18" width="12" customWidth="1" outlineLevel="1"/>
    <col min="19" max="19" width="14.5703125" customWidth="1"/>
    <col min="20" max="20" width="14.7109375" customWidth="1"/>
    <col min="21" max="21" width="16.140625" customWidth="1"/>
    <col min="22" max="22" width="35.85546875" customWidth="1"/>
    <col min="23" max="24" width="8.42578125" style="2" customWidth="1"/>
    <col min="25" max="25" width="8.42578125" style="3" hidden="1" customWidth="1"/>
    <col min="26" max="26" width="0" style="3" hidden="1" customWidth="1"/>
    <col min="27" max="27" width="13" style="3" hidden="1" customWidth="1"/>
    <col min="28" max="32" width="10.140625" style="3" hidden="1" customWidth="1"/>
    <col min="33" max="37" width="16.28515625" style="3" hidden="1" customWidth="1"/>
    <col min="38" max="38" width="16.7109375" style="3" hidden="1" customWidth="1"/>
    <col min="39" max="40" width="0" style="3" hidden="1" customWidth="1"/>
  </cols>
  <sheetData>
    <row r="1" spans="1:125" x14ac:dyDescent="0.25">
      <c r="A1" s="308"/>
      <c r="B1" s="308"/>
      <c r="C1" s="308"/>
      <c r="D1" s="308"/>
      <c r="E1" s="308"/>
      <c r="F1" s="308"/>
      <c r="G1" s="308"/>
      <c r="H1" s="308"/>
      <c r="I1" s="308"/>
      <c r="J1" s="308"/>
      <c r="K1" s="308"/>
      <c r="L1" s="327"/>
      <c r="M1" s="327"/>
      <c r="N1" s="327"/>
      <c r="O1" s="308"/>
      <c r="P1" s="308"/>
      <c r="Q1" s="308"/>
      <c r="R1" s="308"/>
      <c r="S1" s="308"/>
      <c r="T1" s="308"/>
      <c r="U1" s="308"/>
      <c r="V1" s="308"/>
      <c r="W1" s="308"/>
      <c r="X1" s="308"/>
      <c r="Y1" s="306"/>
      <c r="Z1" s="306"/>
      <c r="AA1" s="306"/>
      <c r="AB1" s="306"/>
      <c r="AC1" s="306"/>
      <c r="AD1" s="306"/>
      <c r="AE1" s="306"/>
      <c r="AF1" s="306"/>
      <c r="AG1" s="306"/>
      <c r="AH1" s="306"/>
      <c r="AI1" s="306"/>
      <c r="AJ1" s="306"/>
      <c r="AK1" s="306"/>
      <c r="AL1" s="306"/>
      <c r="AM1" s="306"/>
      <c r="AN1" s="306"/>
      <c r="AO1" s="308"/>
      <c r="AP1" s="308"/>
      <c r="AQ1" s="308"/>
      <c r="AR1" s="308"/>
      <c r="AS1" s="308"/>
      <c r="AT1" s="308"/>
      <c r="AU1" s="308"/>
      <c r="AV1" s="308"/>
      <c r="AW1" s="308"/>
      <c r="AX1" s="308"/>
      <c r="AY1" s="308"/>
      <c r="AZ1" s="308"/>
      <c r="BA1" s="308"/>
      <c r="BB1" s="308"/>
      <c r="BC1" s="308"/>
      <c r="BD1" s="308"/>
      <c r="BE1" s="308"/>
      <c r="BF1" s="308"/>
      <c r="BG1" s="308"/>
      <c r="BH1" s="308"/>
      <c r="BI1" s="308"/>
      <c r="BJ1" s="308"/>
      <c r="BK1" s="308"/>
      <c r="BL1" s="308"/>
      <c r="BM1" s="308"/>
      <c r="BN1" s="308"/>
      <c r="BO1" s="308"/>
      <c r="BP1" s="308"/>
      <c r="BQ1" s="308"/>
      <c r="BR1" s="308"/>
      <c r="BS1" s="308"/>
      <c r="BT1" s="308"/>
      <c r="BU1" s="308"/>
      <c r="BV1" s="308"/>
      <c r="BW1" s="308"/>
      <c r="BX1" s="308"/>
      <c r="BY1" s="308"/>
      <c r="BZ1" s="308"/>
      <c r="CA1" s="308"/>
      <c r="CB1" s="308"/>
      <c r="CC1" s="308"/>
      <c r="CD1" s="308"/>
      <c r="CE1" s="308"/>
      <c r="CF1" s="308"/>
      <c r="CG1" s="308"/>
      <c r="CH1" s="308"/>
      <c r="CI1" s="308"/>
      <c r="CJ1" s="308"/>
      <c r="CK1" s="308"/>
      <c r="CL1" s="308"/>
      <c r="CM1" s="308"/>
      <c r="CN1" s="308"/>
      <c r="CO1" s="308"/>
      <c r="CP1" s="308"/>
      <c r="CQ1" s="308"/>
      <c r="CR1" s="308"/>
      <c r="CS1" s="308"/>
      <c r="CT1" s="308"/>
    </row>
    <row r="2" spans="1:125" x14ac:dyDescent="0.25">
      <c r="A2" s="308"/>
      <c r="B2" s="308"/>
      <c r="C2" s="308"/>
      <c r="D2" s="308"/>
      <c r="E2" s="308"/>
      <c r="F2" s="308"/>
      <c r="G2" s="344"/>
      <c r="H2" s="344"/>
      <c r="I2" s="308"/>
      <c r="J2" s="308"/>
      <c r="K2" s="308"/>
      <c r="L2" s="327"/>
      <c r="M2" s="327"/>
      <c r="N2" s="327"/>
      <c r="O2" s="308"/>
      <c r="P2" s="308"/>
      <c r="Q2" s="308"/>
      <c r="R2" s="308"/>
      <c r="S2" s="308"/>
      <c r="T2" s="308"/>
      <c r="U2" s="308"/>
      <c r="V2" s="308"/>
      <c r="W2" s="308"/>
      <c r="X2" s="308"/>
      <c r="Y2" s="306"/>
      <c r="Z2" s="306"/>
      <c r="AA2" s="306"/>
      <c r="AB2" s="306"/>
      <c r="AC2" s="306"/>
      <c r="AD2" s="306"/>
      <c r="AE2" s="306"/>
      <c r="AF2" s="306"/>
      <c r="AG2" s="306"/>
      <c r="AH2" s="306"/>
      <c r="AI2" s="306"/>
      <c r="AJ2" s="306"/>
      <c r="AK2" s="306"/>
      <c r="AL2" s="306"/>
      <c r="AM2" s="306"/>
      <c r="AN2" s="306"/>
      <c r="AO2" s="308"/>
      <c r="AP2" s="308"/>
      <c r="AQ2" s="308"/>
      <c r="AR2" s="308"/>
      <c r="AS2" s="308"/>
      <c r="AT2" s="308"/>
      <c r="AU2" s="308"/>
      <c r="AV2" s="308"/>
      <c r="AW2" s="308"/>
      <c r="AX2" s="308"/>
      <c r="AY2" s="308"/>
      <c r="AZ2" s="308"/>
      <c r="BA2" s="308"/>
      <c r="BB2" s="308"/>
      <c r="BC2" s="308"/>
      <c r="BD2" s="308"/>
      <c r="BE2" s="308"/>
      <c r="BF2" s="308"/>
      <c r="BG2" s="308"/>
      <c r="BH2" s="308"/>
      <c r="BI2" s="308"/>
      <c r="BJ2" s="308"/>
      <c r="BK2" s="308"/>
      <c r="BL2" s="308"/>
      <c r="BM2" s="308"/>
      <c r="BN2" s="308"/>
      <c r="BO2" s="308"/>
      <c r="BP2" s="308"/>
      <c r="BQ2" s="308"/>
      <c r="BR2" s="308"/>
      <c r="BS2" s="308"/>
      <c r="BT2" s="308"/>
      <c r="BU2" s="308"/>
      <c r="BV2" s="308"/>
      <c r="BW2" s="308"/>
      <c r="BX2" s="308"/>
      <c r="BY2" s="308"/>
      <c r="BZ2" s="308"/>
      <c r="CA2" s="308"/>
      <c r="CB2" s="308"/>
      <c r="CC2" s="308"/>
      <c r="CD2" s="308"/>
      <c r="CE2" s="308"/>
      <c r="CF2" s="308"/>
      <c r="CG2" s="308"/>
      <c r="CH2" s="308"/>
      <c r="CI2" s="308"/>
      <c r="CJ2" s="308"/>
      <c r="CK2" s="308"/>
      <c r="CL2" s="308"/>
      <c r="CM2" s="308"/>
      <c r="CN2" s="308"/>
      <c r="CO2" s="308"/>
      <c r="CP2" s="308"/>
      <c r="CQ2" s="308"/>
      <c r="CR2" s="308"/>
      <c r="CS2" s="308"/>
      <c r="CT2" s="308"/>
    </row>
    <row r="3" spans="1:125" x14ac:dyDescent="0.25">
      <c r="A3" s="308"/>
      <c r="B3" s="308"/>
      <c r="C3" s="308"/>
      <c r="D3" s="308"/>
      <c r="E3" s="308"/>
      <c r="F3" s="308"/>
      <c r="G3" s="344"/>
      <c r="H3" s="344"/>
      <c r="I3" s="308"/>
      <c r="J3" s="308"/>
      <c r="K3" s="308"/>
      <c r="L3" s="327"/>
      <c r="M3" s="327"/>
      <c r="N3" s="327"/>
      <c r="O3" s="308"/>
      <c r="P3" s="308"/>
      <c r="Q3" s="308"/>
      <c r="R3" s="308"/>
      <c r="S3" s="308"/>
      <c r="T3" s="308"/>
      <c r="U3" s="308"/>
      <c r="V3" s="308"/>
      <c r="W3" s="308"/>
      <c r="X3" s="308"/>
      <c r="Y3" s="306"/>
      <c r="Z3" s="306"/>
      <c r="AA3" s="306"/>
      <c r="AB3" s="306"/>
      <c r="AC3" s="306"/>
      <c r="AD3" s="306"/>
      <c r="AE3" s="306"/>
      <c r="AF3" s="306"/>
      <c r="AG3" s="306"/>
      <c r="AH3" s="306"/>
      <c r="AI3" s="306"/>
      <c r="AJ3" s="306"/>
      <c r="AK3" s="306"/>
      <c r="AL3" s="306"/>
      <c r="AM3" s="306"/>
      <c r="AN3" s="306"/>
      <c r="AO3" s="308"/>
      <c r="AP3" s="308"/>
      <c r="AQ3" s="308"/>
      <c r="AR3" s="308"/>
      <c r="AS3" s="308"/>
      <c r="AT3" s="308"/>
      <c r="AU3" s="308"/>
      <c r="AV3" s="308"/>
      <c r="AW3" s="308"/>
      <c r="AX3" s="308"/>
      <c r="AY3" s="308"/>
      <c r="AZ3" s="308"/>
      <c r="BA3" s="308"/>
      <c r="BB3" s="308"/>
      <c r="BC3" s="308"/>
      <c r="BD3" s="308"/>
      <c r="BE3" s="308"/>
      <c r="BF3" s="308"/>
      <c r="BG3" s="308"/>
      <c r="BH3" s="308"/>
      <c r="BI3" s="308"/>
      <c r="BJ3" s="308"/>
      <c r="BK3" s="308"/>
      <c r="BL3" s="308"/>
      <c r="BM3" s="308"/>
      <c r="BN3" s="308"/>
      <c r="BO3" s="308"/>
      <c r="BP3" s="308"/>
      <c r="BQ3" s="308"/>
      <c r="BR3" s="308"/>
      <c r="BS3" s="308"/>
      <c r="BT3" s="308"/>
      <c r="BU3" s="308"/>
      <c r="BV3" s="308"/>
      <c r="BW3" s="308"/>
      <c r="BX3" s="308"/>
      <c r="BY3" s="308"/>
      <c r="BZ3" s="308"/>
      <c r="CA3" s="308"/>
      <c r="CB3" s="308"/>
      <c r="CC3" s="308"/>
      <c r="CD3" s="308"/>
      <c r="CE3" s="308"/>
      <c r="CF3" s="308"/>
      <c r="CG3" s="308"/>
      <c r="CH3" s="308"/>
      <c r="CI3" s="308"/>
      <c r="CJ3" s="308"/>
      <c r="CK3" s="308"/>
      <c r="CL3" s="308"/>
      <c r="CM3" s="308"/>
      <c r="CN3" s="308"/>
      <c r="CO3" s="308"/>
      <c r="CP3" s="308"/>
      <c r="CQ3" s="308"/>
      <c r="CR3" s="308"/>
      <c r="CS3" s="308"/>
      <c r="CT3" s="308"/>
    </row>
    <row r="4" spans="1:125" x14ac:dyDescent="0.25">
      <c r="A4" s="308"/>
      <c r="B4" s="308"/>
      <c r="C4" s="308"/>
      <c r="D4" s="308"/>
      <c r="E4" s="308"/>
      <c r="F4" s="308"/>
      <c r="G4" s="344"/>
      <c r="H4" s="344"/>
      <c r="I4" s="308"/>
      <c r="J4" s="308"/>
      <c r="K4" s="308"/>
      <c r="L4" s="327"/>
      <c r="M4" s="327"/>
      <c r="N4" s="327"/>
      <c r="O4" s="308"/>
      <c r="P4" s="308"/>
      <c r="Q4" s="308"/>
      <c r="R4" s="308"/>
      <c r="S4" s="308"/>
      <c r="T4" s="308"/>
      <c r="U4" s="308"/>
      <c r="V4" s="308"/>
      <c r="W4" s="308"/>
      <c r="X4" s="308"/>
      <c r="Y4" s="306"/>
      <c r="Z4" s="306"/>
      <c r="AA4" s="306"/>
      <c r="AB4" s="306"/>
      <c r="AC4" s="306"/>
      <c r="AD4" s="306"/>
      <c r="AE4" s="306"/>
      <c r="AF4" s="306"/>
      <c r="AG4" s="306"/>
      <c r="AH4" s="306"/>
      <c r="AI4" s="306"/>
      <c r="AJ4" s="306"/>
      <c r="AK4" s="306"/>
      <c r="AL4" s="306"/>
      <c r="AM4" s="306"/>
      <c r="AN4" s="306"/>
      <c r="AO4" s="308"/>
      <c r="AP4" s="308"/>
      <c r="AQ4" s="308"/>
      <c r="AR4" s="308"/>
      <c r="AS4" s="308"/>
      <c r="AT4" s="308"/>
      <c r="AU4" s="308"/>
      <c r="AV4" s="308"/>
      <c r="AW4" s="308"/>
      <c r="AX4" s="308"/>
      <c r="AY4" s="308"/>
      <c r="AZ4" s="308"/>
      <c r="BA4" s="308"/>
      <c r="BB4" s="308"/>
      <c r="BC4" s="308"/>
      <c r="BD4" s="308"/>
      <c r="BE4" s="308"/>
      <c r="BF4" s="308"/>
      <c r="BG4" s="308"/>
      <c r="BH4" s="308"/>
      <c r="BI4" s="308"/>
      <c r="BJ4" s="308"/>
      <c r="BK4" s="308"/>
      <c r="BL4" s="308"/>
      <c r="BM4" s="308"/>
      <c r="BN4" s="308"/>
      <c r="BO4" s="308"/>
      <c r="BP4" s="308"/>
      <c r="BQ4" s="308"/>
      <c r="BR4" s="308"/>
      <c r="BS4" s="308"/>
      <c r="BT4" s="308"/>
      <c r="BU4" s="308"/>
      <c r="BV4" s="308"/>
      <c r="BW4" s="308"/>
      <c r="BX4" s="308"/>
      <c r="BY4" s="308"/>
      <c r="BZ4" s="308"/>
      <c r="CA4" s="308"/>
      <c r="CB4" s="308"/>
      <c r="CC4" s="308"/>
      <c r="CD4" s="308"/>
      <c r="CE4" s="308"/>
      <c r="CF4" s="308"/>
      <c r="CG4" s="308"/>
      <c r="CH4" s="308"/>
      <c r="CI4" s="308"/>
      <c r="CJ4" s="308"/>
      <c r="CK4" s="308"/>
      <c r="CL4" s="308"/>
      <c r="CM4" s="308"/>
      <c r="CN4" s="308"/>
      <c r="CO4" s="308"/>
      <c r="CP4" s="308"/>
      <c r="CQ4" s="308"/>
      <c r="CR4" s="308"/>
      <c r="CS4" s="308"/>
      <c r="CT4" s="308"/>
    </row>
    <row r="5" spans="1:125" x14ac:dyDescent="0.25">
      <c r="A5" s="308"/>
      <c r="B5" s="308"/>
      <c r="C5" s="308"/>
      <c r="D5" s="308"/>
      <c r="E5" s="308"/>
      <c r="F5" s="308"/>
      <c r="G5" s="344"/>
      <c r="H5" s="344"/>
      <c r="I5" s="308"/>
      <c r="J5" s="308"/>
      <c r="K5" s="308"/>
      <c r="L5" s="327"/>
      <c r="M5" s="327"/>
      <c r="N5" s="327"/>
      <c r="O5" s="308"/>
      <c r="P5" s="308"/>
      <c r="Q5" s="308"/>
      <c r="R5" s="308"/>
      <c r="S5" s="308"/>
      <c r="T5" s="308"/>
      <c r="U5" s="308"/>
      <c r="V5" s="308"/>
      <c r="W5" s="308"/>
      <c r="X5" s="308"/>
      <c r="Y5" s="306"/>
      <c r="Z5" s="306"/>
      <c r="AA5" s="306"/>
      <c r="AB5" s="306"/>
      <c r="AC5" s="306"/>
      <c r="AD5" s="306"/>
      <c r="AE5" s="306"/>
      <c r="AF5" s="306"/>
      <c r="AG5" s="306"/>
      <c r="AH5" s="306"/>
      <c r="AI5" s="306"/>
      <c r="AJ5" s="306"/>
      <c r="AK5" s="306"/>
      <c r="AL5" s="306"/>
      <c r="AM5" s="306"/>
      <c r="AN5" s="306"/>
      <c r="AO5" s="308"/>
      <c r="AP5" s="308"/>
      <c r="AQ5" s="308"/>
      <c r="AR5" s="308"/>
      <c r="AS5" s="308"/>
      <c r="AT5" s="308"/>
      <c r="AU5" s="308"/>
      <c r="AV5" s="308"/>
      <c r="AW5" s="308"/>
      <c r="AX5" s="308"/>
      <c r="AY5" s="308"/>
      <c r="AZ5" s="308"/>
      <c r="BA5" s="308"/>
      <c r="BB5" s="308"/>
      <c r="BC5" s="308"/>
      <c r="BD5" s="308"/>
      <c r="BE5" s="308"/>
      <c r="BF5" s="308"/>
      <c r="BG5" s="308"/>
      <c r="BH5" s="308"/>
      <c r="BI5" s="308"/>
      <c r="BJ5" s="308"/>
      <c r="BK5" s="308"/>
      <c r="BL5" s="308"/>
      <c r="BM5" s="308"/>
      <c r="BN5" s="308"/>
      <c r="BO5" s="308"/>
      <c r="BP5" s="308"/>
      <c r="BQ5" s="308"/>
      <c r="BR5" s="308"/>
      <c r="BS5" s="308"/>
      <c r="BT5" s="308"/>
      <c r="BU5" s="308"/>
      <c r="BV5" s="308"/>
      <c r="BW5" s="308"/>
      <c r="BX5" s="308"/>
      <c r="BY5" s="308"/>
      <c r="BZ5" s="308"/>
      <c r="CA5" s="308"/>
      <c r="CB5" s="308"/>
      <c r="CC5" s="308"/>
      <c r="CD5" s="308"/>
      <c r="CE5" s="308"/>
      <c r="CF5" s="308"/>
      <c r="CG5" s="308"/>
      <c r="CH5" s="308"/>
      <c r="CI5" s="308"/>
      <c r="CJ5" s="308"/>
      <c r="CK5" s="308"/>
      <c r="CL5" s="308"/>
      <c r="CM5" s="308"/>
      <c r="CN5" s="308"/>
      <c r="CO5" s="308"/>
      <c r="CP5" s="308"/>
      <c r="CQ5" s="308"/>
      <c r="CR5" s="308"/>
      <c r="CS5" s="308"/>
      <c r="CT5" s="308"/>
    </row>
    <row r="6" spans="1:125" ht="15.75" thickBot="1" x14ac:dyDescent="0.3">
      <c r="A6" s="308"/>
      <c r="B6" s="308"/>
      <c r="C6" s="308"/>
      <c r="D6" s="308"/>
      <c r="E6" s="308"/>
      <c r="F6" s="308"/>
      <c r="G6" s="308"/>
      <c r="H6" s="308"/>
      <c r="I6" s="308"/>
      <c r="J6" s="308"/>
      <c r="K6" s="308"/>
      <c r="L6" s="327"/>
      <c r="M6" s="327"/>
      <c r="N6" s="327"/>
      <c r="O6" s="308"/>
      <c r="P6" s="308"/>
      <c r="Q6" s="308"/>
      <c r="R6" s="308"/>
      <c r="S6" s="308"/>
      <c r="T6" s="308"/>
      <c r="U6" s="308"/>
      <c r="V6" s="308"/>
      <c r="W6" s="308"/>
      <c r="X6" s="308"/>
      <c r="Y6" s="306"/>
      <c r="Z6" s="306"/>
      <c r="AA6" s="306"/>
      <c r="AB6" s="306"/>
      <c r="AC6" s="306"/>
      <c r="AD6" s="306"/>
      <c r="AE6" s="306"/>
      <c r="AF6" s="306"/>
      <c r="AG6" s="306"/>
      <c r="AH6" s="306"/>
      <c r="AI6" s="306"/>
      <c r="AJ6" s="306"/>
      <c r="AK6" s="306"/>
      <c r="AL6" s="306"/>
      <c r="AM6" s="306"/>
      <c r="AN6" s="306"/>
      <c r="AO6" s="308"/>
      <c r="AP6" s="308"/>
      <c r="AQ6" s="308"/>
      <c r="AR6" s="308"/>
      <c r="AS6" s="308"/>
      <c r="AT6" s="308"/>
      <c r="AU6" s="308"/>
      <c r="AV6" s="308"/>
      <c r="AW6" s="308"/>
      <c r="AX6" s="308"/>
      <c r="AY6" s="308"/>
      <c r="AZ6" s="308"/>
      <c r="BA6" s="308"/>
      <c r="BB6" s="308"/>
      <c r="BC6" s="308"/>
      <c r="BD6" s="308"/>
      <c r="BE6" s="308"/>
      <c r="BF6" s="308"/>
      <c r="BG6" s="308"/>
      <c r="BH6" s="308"/>
      <c r="BI6" s="308"/>
      <c r="BJ6" s="308"/>
      <c r="BK6" s="308"/>
      <c r="BL6" s="308"/>
      <c r="BM6" s="308"/>
      <c r="BN6" s="308"/>
      <c r="BO6" s="308"/>
      <c r="BP6" s="308"/>
      <c r="BQ6" s="308"/>
      <c r="BR6" s="308"/>
      <c r="BS6" s="308"/>
      <c r="BT6" s="308"/>
      <c r="BU6" s="308"/>
      <c r="BV6" s="308"/>
      <c r="BW6" s="308"/>
      <c r="BX6" s="308"/>
      <c r="BY6" s="308"/>
      <c r="BZ6" s="308"/>
      <c r="CA6" s="308"/>
      <c r="CB6" s="308"/>
      <c r="CC6" s="308"/>
      <c r="CD6" s="308"/>
      <c r="CE6" s="308"/>
      <c r="CF6" s="308"/>
      <c r="CG6" s="308"/>
      <c r="CH6" s="308"/>
      <c r="CI6" s="308"/>
      <c r="CJ6" s="308"/>
      <c r="CK6" s="308"/>
      <c r="CL6" s="308"/>
      <c r="CM6" s="308"/>
      <c r="CN6" s="308"/>
      <c r="CO6" s="308"/>
      <c r="CP6" s="308"/>
      <c r="CQ6" s="308"/>
      <c r="CR6" s="308"/>
      <c r="CS6" s="308"/>
      <c r="CT6" s="308"/>
    </row>
    <row r="7" spans="1:125" s="412" customFormat="1" ht="77.25" customHeight="1" thickBot="1" x14ac:dyDescent="0.35">
      <c r="A7" s="410"/>
      <c r="B7" s="957" t="s">
        <v>234</v>
      </c>
      <c r="C7" s="961"/>
      <c r="D7" s="961"/>
      <c r="E7" s="961"/>
      <c r="F7" s="961"/>
      <c r="G7" s="961"/>
      <c r="H7" s="961"/>
      <c r="I7" s="961"/>
      <c r="J7" s="961"/>
      <c r="K7" s="961"/>
      <c r="L7" s="961"/>
      <c r="M7" s="961"/>
      <c r="N7" s="961"/>
      <c r="O7" s="961"/>
      <c r="P7" s="961"/>
      <c r="Q7" s="961"/>
      <c r="R7" s="961"/>
      <c r="S7" s="961"/>
      <c r="T7" s="961"/>
      <c r="U7" s="961"/>
      <c r="V7" s="962"/>
      <c r="W7" s="410"/>
      <c r="X7" s="410"/>
      <c r="Y7" s="411"/>
      <c r="Z7" s="411"/>
      <c r="AA7" s="411"/>
      <c r="AB7" s="411"/>
      <c r="AC7" s="411"/>
      <c r="AD7" s="411"/>
      <c r="AE7" s="411"/>
      <c r="AF7" s="411"/>
      <c r="AG7" s="411"/>
      <c r="AH7" s="411"/>
      <c r="AI7" s="411"/>
      <c r="AJ7" s="411"/>
      <c r="AK7" s="411"/>
      <c r="AL7" s="411"/>
      <c r="AM7" s="411"/>
      <c r="AN7" s="411"/>
      <c r="AO7" s="410"/>
      <c r="AP7" s="410"/>
      <c r="AQ7" s="410"/>
      <c r="AR7" s="410"/>
      <c r="AS7" s="410"/>
      <c r="AT7" s="410"/>
      <c r="AU7" s="410"/>
      <c r="AV7" s="410"/>
      <c r="AW7" s="410"/>
      <c r="AX7" s="410"/>
      <c r="AY7" s="410"/>
      <c r="AZ7" s="410"/>
      <c r="BA7" s="410"/>
      <c r="BB7" s="410"/>
      <c r="BC7" s="410"/>
      <c r="BD7" s="410"/>
      <c r="BE7" s="410"/>
      <c r="BF7" s="410"/>
      <c r="BG7" s="410"/>
      <c r="BH7" s="410"/>
      <c r="BI7" s="410"/>
      <c r="BJ7" s="410"/>
      <c r="BK7" s="410"/>
      <c r="BL7" s="410"/>
      <c r="BM7" s="410"/>
      <c r="BN7" s="410"/>
      <c r="BO7" s="410"/>
      <c r="BP7" s="410"/>
      <c r="BQ7" s="410"/>
      <c r="BR7" s="410"/>
      <c r="BS7" s="410"/>
      <c r="BT7" s="410"/>
      <c r="BU7" s="410"/>
      <c r="BV7" s="410"/>
      <c r="BW7" s="410"/>
      <c r="BX7" s="410"/>
      <c r="BY7" s="410"/>
      <c r="BZ7" s="410"/>
      <c r="CA7" s="410"/>
      <c r="CB7" s="410"/>
      <c r="CC7" s="410"/>
      <c r="CD7" s="410"/>
      <c r="CE7" s="410"/>
      <c r="CF7" s="410"/>
      <c r="CG7" s="410"/>
      <c r="CH7" s="410"/>
      <c r="CI7" s="410"/>
      <c r="CJ7" s="410"/>
      <c r="CK7" s="410"/>
      <c r="CL7" s="410"/>
      <c r="CM7" s="410"/>
      <c r="CN7" s="410"/>
      <c r="CO7" s="410"/>
      <c r="CP7" s="410"/>
      <c r="CQ7" s="410"/>
      <c r="CR7" s="410"/>
      <c r="CS7" s="410"/>
      <c r="CT7" s="410"/>
    </row>
    <row r="8" spans="1:125" s="415" customFormat="1" ht="38.25" customHeight="1" thickBot="1" x14ac:dyDescent="0.3">
      <c r="A8" s="413"/>
      <c r="B8" s="960" t="s">
        <v>235</v>
      </c>
      <c r="C8" s="961"/>
      <c r="D8" s="961"/>
      <c r="E8" s="961"/>
      <c r="F8" s="961"/>
      <c r="G8" s="961"/>
      <c r="H8" s="961"/>
      <c r="I8" s="961"/>
      <c r="J8" s="961"/>
      <c r="K8" s="961"/>
      <c r="L8" s="961"/>
      <c r="M8" s="961"/>
      <c r="N8" s="961"/>
      <c r="O8" s="961"/>
      <c r="P8" s="961"/>
      <c r="Q8" s="961"/>
      <c r="R8" s="961"/>
      <c r="S8" s="961"/>
      <c r="T8" s="961"/>
      <c r="U8" s="961"/>
      <c r="V8" s="962"/>
      <c r="W8" s="329"/>
      <c r="X8" s="329"/>
      <c r="Y8" s="330"/>
      <c r="Z8" s="414"/>
      <c r="AA8" s="414"/>
      <c r="AB8" s="414"/>
      <c r="AC8" s="414"/>
      <c r="AD8" s="414"/>
      <c r="AE8" s="414"/>
      <c r="AF8" s="414"/>
      <c r="AG8" s="414"/>
      <c r="AH8" s="414"/>
      <c r="AI8" s="414"/>
      <c r="AJ8" s="414"/>
      <c r="AK8" s="414"/>
      <c r="AL8" s="414"/>
      <c r="AM8" s="414"/>
      <c r="AN8" s="414"/>
      <c r="AO8" s="413"/>
      <c r="AP8" s="413"/>
      <c r="AQ8" s="413"/>
      <c r="AR8" s="413"/>
      <c r="AS8" s="413"/>
      <c r="AT8" s="413"/>
      <c r="AU8" s="413"/>
      <c r="AV8" s="413"/>
      <c r="AW8" s="413"/>
      <c r="AX8" s="413"/>
      <c r="AY8" s="413"/>
      <c r="AZ8" s="413"/>
      <c r="BA8" s="413"/>
      <c r="BB8" s="413"/>
      <c r="BC8" s="413"/>
      <c r="BD8" s="413"/>
      <c r="BE8" s="413"/>
      <c r="BF8" s="413"/>
      <c r="BG8" s="413"/>
      <c r="BH8" s="413"/>
      <c r="BI8" s="413"/>
      <c r="BJ8" s="413"/>
      <c r="BK8" s="413"/>
      <c r="BL8" s="413"/>
      <c r="BM8" s="413"/>
      <c r="BN8" s="413"/>
      <c r="BO8" s="413"/>
      <c r="BP8" s="413"/>
      <c r="BQ8" s="413"/>
      <c r="BR8" s="413"/>
      <c r="BS8" s="413"/>
      <c r="BT8" s="413"/>
      <c r="BU8" s="413"/>
      <c r="BV8" s="413"/>
      <c r="BW8" s="413"/>
      <c r="BX8" s="413"/>
      <c r="BY8" s="413"/>
      <c r="BZ8" s="413"/>
      <c r="CA8" s="413"/>
      <c r="CB8" s="413"/>
      <c r="CC8" s="413"/>
      <c r="CD8" s="413"/>
      <c r="CE8" s="413"/>
      <c r="CF8" s="413"/>
      <c r="CG8" s="413"/>
      <c r="CH8" s="413"/>
      <c r="CI8" s="413"/>
      <c r="CJ8" s="413"/>
      <c r="CK8" s="413"/>
      <c r="CL8" s="413"/>
      <c r="CM8" s="413"/>
      <c r="CN8" s="413"/>
      <c r="CO8" s="413"/>
      <c r="CP8" s="413"/>
      <c r="CQ8" s="413"/>
      <c r="CR8" s="413"/>
      <c r="CS8" s="413"/>
      <c r="CT8" s="413"/>
    </row>
    <row r="9" spans="1:125" s="1" customFormat="1" ht="13.5" thickBot="1" x14ac:dyDescent="0.25">
      <c r="A9" s="304"/>
      <c r="B9" s="304"/>
      <c r="C9" s="304"/>
      <c r="D9" s="304"/>
      <c r="E9" s="304"/>
      <c r="F9" s="304"/>
      <c r="G9" s="304"/>
      <c r="H9" s="304"/>
      <c r="I9" s="304"/>
      <c r="J9" s="304"/>
      <c r="K9" s="304"/>
      <c r="L9" s="328"/>
      <c r="M9" s="328"/>
      <c r="N9" s="328"/>
      <c r="O9" s="304"/>
      <c r="P9" s="304"/>
      <c r="Q9" s="304"/>
      <c r="R9" s="304"/>
      <c r="S9" s="304"/>
      <c r="T9" s="304"/>
      <c r="U9" s="304"/>
      <c r="V9" s="304"/>
      <c r="W9" s="304"/>
      <c r="X9" s="304"/>
      <c r="Y9" s="305"/>
      <c r="Z9" s="305"/>
      <c r="AA9" s="305"/>
      <c r="AB9" s="305"/>
      <c r="AC9" s="305"/>
      <c r="AD9" s="305"/>
      <c r="AE9" s="305"/>
      <c r="AF9" s="305"/>
      <c r="AG9" s="305"/>
      <c r="AH9" s="305"/>
      <c r="AI9" s="305"/>
      <c r="AJ9" s="305"/>
      <c r="AK9" s="305"/>
      <c r="AL9" s="305"/>
      <c r="AM9" s="305"/>
      <c r="AN9" s="305"/>
      <c r="AO9" s="304"/>
      <c r="AP9" s="304"/>
      <c r="AQ9" s="304"/>
      <c r="AR9" s="304"/>
      <c r="AS9" s="304"/>
      <c r="AT9" s="304"/>
      <c r="AU9" s="304"/>
      <c r="AV9" s="304"/>
      <c r="AW9" s="304"/>
      <c r="AX9" s="304"/>
      <c r="AY9" s="304"/>
      <c r="AZ9" s="304"/>
      <c r="BA9" s="304"/>
      <c r="BB9" s="304"/>
      <c r="BC9" s="304"/>
      <c r="BD9" s="304"/>
      <c r="BE9" s="304"/>
      <c r="BF9" s="304"/>
      <c r="BG9" s="304"/>
      <c r="BH9" s="304"/>
      <c r="BI9" s="304"/>
      <c r="BJ9" s="304"/>
      <c r="BK9" s="304"/>
      <c r="BL9" s="304"/>
      <c r="BM9" s="304"/>
      <c r="BN9" s="304"/>
      <c r="BO9" s="304"/>
      <c r="BP9" s="304"/>
      <c r="BQ9" s="304"/>
      <c r="BR9" s="304"/>
      <c r="BS9" s="304"/>
      <c r="BT9" s="304"/>
      <c r="BU9" s="304"/>
      <c r="BV9" s="304"/>
      <c r="BW9" s="304"/>
      <c r="BX9" s="304"/>
      <c r="BY9" s="304"/>
      <c r="BZ9" s="304"/>
      <c r="CA9" s="304"/>
      <c r="CB9" s="304"/>
      <c r="CC9" s="304"/>
      <c r="CD9" s="304"/>
      <c r="CE9" s="304"/>
      <c r="CF9" s="304"/>
      <c r="CG9" s="304"/>
      <c r="CH9" s="304"/>
      <c r="CI9" s="304"/>
      <c r="CJ9" s="304"/>
      <c r="CK9" s="304"/>
      <c r="CL9" s="304"/>
      <c r="CM9" s="304"/>
      <c r="CN9" s="304"/>
      <c r="CO9" s="304"/>
      <c r="CP9" s="304"/>
      <c r="CQ9" s="304"/>
      <c r="CR9" s="304"/>
      <c r="CS9" s="304"/>
      <c r="CT9" s="304"/>
    </row>
    <row r="10" spans="1:125" s="1" customFormat="1" ht="13.5" thickBot="1" x14ac:dyDescent="0.25">
      <c r="A10" s="304"/>
      <c r="B10" s="304"/>
      <c r="C10" s="304"/>
      <c r="D10" s="346" t="s">
        <v>0</v>
      </c>
      <c r="E10" s="352">
        <v>43556</v>
      </c>
      <c r="F10" s="347"/>
      <c r="G10" s="304"/>
      <c r="H10" s="304"/>
      <c r="I10" s="331" t="s">
        <v>18</v>
      </c>
      <c r="J10" s="435"/>
      <c r="K10" s="416">
        <v>0.12</v>
      </c>
      <c r="L10" s="345"/>
      <c r="M10" s="345"/>
      <c r="N10" s="345"/>
      <c r="O10" s="304"/>
      <c r="P10" s="304"/>
      <c r="Q10" s="304"/>
      <c r="R10" s="304"/>
      <c r="S10" s="304"/>
      <c r="T10" s="304"/>
      <c r="U10" s="331" t="s">
        <v>198</v>
      </c>
      <c r="V10" s="332">
        <v>43312</v>
      </c>
      <c r="W10" s="304"/>
      <c r="X10" s="304"/>
      <c r="Y10" s="305"/>
      <c r="Z10" s="305"/>
      <c r="AA10" s="305"/>
      <c r="AB10" s="305"/>
      <c r="AC10" s="305"/>
      <c r="AD10" s="305"/>
      <c r="AE10" s="305"/>
      <c r="AF10" s="305"/>
      <c r="AG10" s="305"/>
      <c r="AH10" s="305"/>
      <c r="AI10" s="305"/>
      <c r="AJ10" s="305"/>
      <c r="AK10" s="305"/>
      <c r="AL10" s="305"/>
      <c r="AM10" s="305"/>
      <c r="AN10" s="305"/>
      <c r="AO10" s="304"/>
      <c r="AP10" s="304"/>
      <c r="AQ10" s="304"/>
      <c r="AR10" s="304"/>
      <c r="AS10" s="304"/>
      <c r="AT10" s="304"/>
      <c r="AU10" s="304"/>
      <c r="AV10" s="304"/>
      <c r="AW10" s="304"/>
      <c r="AX10" s="304"/>
      <c r="AY10" s="304"/>
      <c r="AZ10" s="304"/>
      <c r="BA10" s="304"/>
      <c r="BB10" s="304"/>
      <c r="BC10" s="304"/>
      <c r="BD10" s="304"/>
      <c r="BE10" s="304"/>
      <c r="BF10" s="304"/>
      <c r="BG10" s="304"/>
      <c r="BH10" s="304"/>
      <c r="BI10" s="304"/>
      <c r="BJ10" s="304"/>
      <c r="BK10" s="304"/>
      <c r="BL10" s="304"/>
      <c r="BM10" s="304"/>
      <c r="BN10" s="304"/>
      <c r="BO10" s="304"/>
      <c r="BP10" s="304"/>
      <c r="BQ10" s="304"/>
      <c r="BR10" s="304"/>
      <c r="BS10" s="304"/>
      <c r="BT10" s="304"/>
      <c r="BU10" s="304"/>
      <c r="BV10" s="304"/>
      <c r="BW10" s="304"/>
      <c r="BX10" s="304"/>
      <c r="BY10" s="304"/>
      <c r="BZ10" s="304"/>
      <c r="CA10" s="304"/>
      <c r="CB10" s="304"/>
      <c r="CC10" s="304"/>
      <c r="CD10" s="304"/>
      <c r="CE10" s="304"/>
      <c r="CF10" s="304"/>
      <c r="CG10" s="304"/>
      <c r="CH10" s="304"/>
      <c r="CI10" s="304"/>
      <c r="CJ10" s="304"/>
      <c r="CK10" s="304"/>
      <c r="CL10" s="304"/>
      <c r="CM10" s="304"/>
      <c r="CN10" s="304"/>
      <c r="CO10" s="304"/>
      <c r="CP10" s="304"/>
      <c r="CQ10" s="304"/>
      <c r="CR10" s="304"/>
      <c r="CS10" s="304"/>
      <c r="CT10" s="304"/>
    </row>
    <row r="11" spans="1:125" s="1" customFormat="1" ht="13.5" thickBot="1" x14ac:dyDescent="0.25">
      <c r="A11" s="304"/>
      <c r="B11" s="304"/>
      <c r="C11" s="304"/>
      <c r="D11" s="353" t="s">
        <v>1</v>
      </c>
      <c r="E11" s="425">
        <v>43830</v>
      </c>
      <c r="F11" s="348"/>
      <c r="G11" s="304"/>
      <c r="H11" s="304"/>
      <c r="I11" s="304"/>
      <c r="J11" s="304"/>
      <c r="K11" s="304"/>
      <c r="L11" s="328"/>
      <c r="M11" s="328"/>
      <c r="N11" s="328"/>
      <c r="O11" s="304"/>
      <c r="P11" s="304"/>
      <c r="Q11" s="304"/>
      <c r="R11" s="304"/>
      <c r="S11" s="304"/>
      <c r="T11" s="304"/>
      <c r="U11" s="304"/>
      <c r="V11" s="304"/>
      <c r="W11" s="304"/>
      <c r="X11" s="304"/>
      <c r="Y11" s="305"/>
      <c r="Z11" s="305"/>
      <c r="AA11" s="305"/>
      <c r="AB11" s="305"/>
      <c r="AC11" s="305"/>
      <c r="AD11" s="305"/>
      <c r="AE11" s="305"/>
      <c r="AF11" s="305"/>
      <c r="AG11" s="305"/>
      <c r="AH11" s="305"/>
      <c r="AI11" s="305"/>
      <c r="AJ11" s="305"/>
      <c r="AK11" s="305"/>
      <c r="AL11" s="305"/>
      <c r="AM11" s="305"/>
      <c r="AN11" s="305"/>
      <c r="AO11" s="304"/>
      <c r="AP11" s="304"/>
      <c r="AQ11" s="304"/>
      <c r="AR11" s="304"/>
      <c r="AS11" s="304"/>
      <c r="AT11" s="304"/>
      <c r="AU11" s="304"/>
      <c r="AV11" s="304"/>
      <c r="AW11" s="304"/>
      <c r="AX11" s="304"/>
      <c r="AY11" s="304"/>
      <c r="AZ11" s="304"/>
      <c r="BA11" s="304"/>
      <c r="BB11" s="304"/>
      <c r="BC11" s="304"/>
      <c r="BD11" s="304"/>
      <c r="BE11" s="304"/>
      <c r="BF11" s="304"/>
      <c r="BG11" s="304"/>
      <c r="BH11" s="304"/>
      <c r="BI11" s="304"/>
      <c r="BJ11" s="304"/>
      <c r="BK11" s="304"/>
      <c r="BL11" s="304"/>
      <c r="BM11" s="304"/>
      <c r="BN11" s="304"/>
      <c r="BO11" s="304"/>
      <c r="BP11" s="304"/>
      <c r="BQ11" s="304"/>
      <c r="BR11" s="304"/>
      <c r="BS11" s="304"/>
      <c r="BT11" s="304"/>
      <c r="BU11" s="304"/>
      <c r="BV11" s="304"/>
      <c r="BW11" s="304"/>
      <c r="BX11" s="304"/>
      <c r="BY11" s="304"/>
      <c r="BZ11" s="304"/>
      <c r="CA11" s="304"/>
      <c r="CB11" s="304"/>
      <c r="CC11" s="304"/>
      <c r="CD11" s="304"/>
      <c r="CE11" s="304"/>
      <c r="CF11" s="304"/>
      <c r="CG11" s="304"/>
      <c r="CH11" s="304"/>
      <c r="CI11" s="304"/>
      <c r="CJ11" s="304"/>
      <c r="CK11" s="304"/>
      <c r="CL11" s="304"/>
      <c r="CM11" s="304"/>
      <c r="CN11" s="304"/>
      <c r="CO11" s="304"/>
      <c r="CP11" s="304"/>
      <c r="CQ11" s="304"/>
      <c r="CR11" s="304"/>
      <c r="CS11" s="304"/>
      <c r="CT11" s="304"/>
    </row>
    <row r="12" spans="1:125" s="1" customFormat="1" ht="14.25" thickTop="1" thickBot="1" x14ac:dyDescent="0.25">
      <c r="A12" s="304"/>
      <c r="B12" s="304"/>
      <c r="C12" s="304"/>
      <c r="D12" s="304"/>
      <c r="E12" s="304"/>
      <c r="F12" s="304"/>
      <c r="G12" s="304"/>
      <c r="H12" s="304"/>
      <c r="I12" s="304"/>
      <c r="J12" s="304"/>
      <c r="K12" s="304"/>
      <c r="L12" s="328"/>
      <c r="M12" s="328"/>
      <c r="N12" s="328"/>
      <c r="O12" s="304"/>
      <c r="P12" s="304"/>
      <c r="Q12" s="304"/>
      <c r="R12" s="304"/>
      <c r="S12" s="304"/>
      <c r="T12" s="304"/>
      <c r="U12" s="304"/>
      <c r="V12" s="304"/>
      <c r="W12" s="304"/>
      <c r="X12" s="304"/>
      <c r="Y12" s="305"/>
      <c r="Z12" s="305"/>
      <c r="AA12" s="305"/>
      <c r="AB12" s="305"/>
      <c r="AC12" s="305"/>
      <c r="AD12" s="305"/>
      <c r="AE12" s="305"/>
      <c r="AF12" s="305"/>
      <c r="AG12" s="305"/>
      <c r="AH12" s="305"/>
      <c r="AI12" s="305"/>
      <c r="AJ12" s="305"/>
      <c r="AK12" s="305"/>
      <c r="AL12" s="305"/>
      <c r="AM12" s="305"/>
      <c r="AN12" s="305"/>
      <c r="AO12" s="304"/>
      <c r="AP12" s="304"/>
      <c r="AQ12" s="304"/>
      <c r="AR12" s="304"/>
      <c r="AS12" s="304"/>
      <c r="AT12" s="304"/>
      <c r="AU12" s="304"/>
      <c r="AV12" s="304"/>
      <c r="AW12" s="304"/>
      <c r="AX12" s="304"/>
      <c r="AY12" s="304"/>
      <c r="AZ12" s="304"/>
      <c r="BA12" s="304"/>
      <c r="BB12" s="304"/>
      <c r="BC12" s="304"/>
      <c r="BD12" s="304"/>
      <c r="BE12" s="304"/>
      <c r="BF12" s="304"/>
      <c r="BG12" s="304"/>
      <c r="BH12" s="304"/>
      <c r="BI12" s="304"/>
      <c r="BJ12" s="304"/>
      <c r="BK12" s="304"/>
      <c r="BL12" s="304"/>
      <c r="BM12" s="304"/>
      <c r="BN12" s="304"/>
      <c r="BO12" s="304"/>
      <c r="BP12" s="304"/>
      <c r="BQ12" s="304"/>
      <c r="BR12" s="304"/>
      <c r="BS12" s="304"/>
      <c r="BT12" s="304"/>
      <c r="BU12" s="304"/>
      <c r="BV12" s="304"/>
      <c r="BW12" s="304"/>
      <c r="BX12" s="304"/>
      <c r="BY12" s="304"/>
      <c r="BZ12" s="304"/>
      <c r="CA12" s="304"/>
      <c r="CB12" s="304"/>
      <c r="CC12" s="304"/>
      <c r="CD12" s="304"/>
      <c r="CE12" s="304"/>
      <c r="CF12" s="304"/>
      <c r="CG12" s="304"/>
      <c r="CH12" s="304"/>
      <c r="CI12" s="304"/>
      <c r="CJ12" s="304"/>
      <c r="CK12" s="304"/>
      <c r="CL12" s="304"/>
      <c r="CM12" s="304"/>
      <c r="CN12" s="304"/>
      <c r="CO12" s="304"/>
      <c r="CP12" s="304"/>
      <c r="CQ12" s="304"/>
      <c r="CR12" s="304"/>
      <c r="CS12" s="304"/>
      <c r="CT12" s="304"/>
    </row>
    <row r="13" spans="1:125" ht="27" customHeight="1" x14ac:dyDescent="0.25">
      <c r="A13" s="308"/>
      <c r="B13" s="1054" t="s">
        <v>17</v>
      </c>
      <c r="C13" s="1054" t="s">
        <v>214</v>
      </c>
      <c r="D13" s="1056" t="s">
        <v>16</v>
      </c>
      <c r="E13" s="1058" t="s">
        <v>281</v>
      </c>
      <c r="F13" s="1060" t="s">
        <v>19</v>
      </c>
      <c r="G13" s="1061"/>
      <c r="H13" s="1061"/>
      <c r="I13" s="1061"/>
      <c r="J13" s="1062" t="s">
        <v>282</v>
      </c>
      <c r="K13" s="1064" t="s">
        <v>202</v>
      </c>
      <c r="L13" s="1066" t="s">
        <v>203</v>
      </c>
      <c r="M13" s="1086" t="s">
        <v>204</v>
      </c>
      <c r="N13" s="1086" t="s">
        <v>205</v>
      </c>
      <c r="O13" s="1088" t="s">
        <v>2</v>
      </c>
      <c r="P13" s="1061"/>
      <c r="Q13" s="1061"/>
      <c r="R13" s="1089"/>
      <c r="S13" s="1090" t="s">
        <v>10</v>
      </c>
      <c r="T13" s="1090"/>
      <c r="U13" s="1090" t="s">
        <v>9</v>
      </c>
      <c r="V13" s="1092" t="s">
        <v>8</v>
      </c>
      <c r="W13" s="311"/>
      <c r="X13" s="311"/>
      <c r="Y13" s="312"/>
      <c r="Z13" s="306"/>
      <c r="AA13" s="1068" t="s">
        <v>12</v>
      </c>
      <c r="AB13" s="1069" t="s">
        <v>11</v>
      </c>
      <c r="AC13" s="1070"/>
      <c r="AD13" s="1070"/>
      <c r="AE13" s="1070"/>
      <c r="AF13" s="1071"/>
      <c r="AG13" s="1069" t="s">
        <v>13</v>
      </c>
      <c r="AH13" s="1070"/>
      <c r="AI13" s="1070"/>
      <c r="AJ13" s="1070"/>
      <c r="AK13" s="1071"/>
      <c r="AL13" s="306"/>
      <c r="AM13" s="306"/>
      <c r="AN13" s="306"/>
      <c r="AO13" s="308"/>
      <c r="AP13" s="308"/>
      <c r="AQ13" s="308"/>
      <c r="AR13" s="308"/>
      <c r="AS13" s="308"/>
      <c r="AT13" s="308"/>
      <c r="AU13" s="308"/>
      <c r="AV13" s="308"/>
      <c r="AW13" s="308"/>
      <c r="AX13" s="308"/>
      <c r="AY13" s="308"/>
      <c r="AZ13" s="308"/>
      <c r="BA13" s="308"/>
      <c r="BB13" s="308"/>
      <c r="BC13" s="308"/>
      <c r="BD13" s="308"/>
      <c r="BE13" s="308"/>
      <c r="BF13" s="308"/>
      <c r="BG13" s="308"/>
      <c r="BH13" s="308"/>
      <c r="BI13" s="308"/>
      <c r="BJ13" s="308"/>
      <c r="BK13" s="308"/>
      <c r="BL13" s="308"/>
      <c r="BM13" s="308"/>
      <c r="BN13" s="308"/>
      <c r="BO13" s="308"/>
      <c r="BP13" s="308"/>
      <c r="BQ13" s="308"/>
      <c r="BR13" s="308"/>
      <c r="BS13" s="308"/>
      <c r="BT13" s="308"/>
      <c r="BU13" s="308"/>
      <c r="BV13" s="308"/>
      <c r="BW13" s="308"/>
      <c r="BX13" s="308"/>
      <c r="BY13" s="308"/>
      <c r="BZ13" s="308"/>
      <c r="CA13" s="308"/>
      <c r="CB13" s="308"/>
      <c r="CC13" s="308"/>
      <c r="CD13" s="308"/>
      <c r="CE13" s="308"/>
      <c r="CF13" s="308"/>
      <c r="CG13" s="308"/>
      <c r="CH13" s="308"/>
      <c r="CI13" s="308"/>
      <c r="CJ13" s="308"/>
      <c r="CK13" s="308"/>
      <c r="CL13" s="308"/>
      <c r="CM13" s="308"/>
      <c r="CN13" s="308"/>
      <c r="CO13" s="308"/>
      <c r="CP13" s="308"/>
      <c r="CQ13" s="308"/>
      <c r="CR13" s="308"/>
      <c r="CS13" s="308"/>
      <c r="CT13" s="308"/>
      <c r="CU13" s="308"/>
      <c r="CV13" s="308"/>
      <c r="CW13" s="308"/>
      <c r="CX13" s="308"/>
      <c r="CY13" s="308"/>
      <c r="CZ13" s="308"/>
      <c r="DA13" s="308"/>
      <c r="DB13" s="308"/>
      <c r="DC13" s="308"/>
      <c r="DD13" s="308"/>
      <c r="DE13" s="308"/>
      <c r="DF13" s="308"/>
      <c r="DG13" s="308"/>
      <c r="DH13" s="308"/>
      <c r="DI13" s="308"/>
      <c r="DJ13" s="308"/>
      <c r="DK13" s="308"/>
      <c r="DL13" s="308"/>
      <c r="DM13" s="308"/>
      <c r="DN13" s="308"/>
      <c r="DO13" s="308"/>
      <c r="DP13" s="308"/>
      <c r="DQ13" s="308"/>
      <c r="DR13" s="308"/>
      <c r="DS13" s="308"/>
      <c r="DT13" s="308"/>
      <c r="DU13" s="308"/>
    </row>
    <row r="14" spans="1:125" ht="76.5" customHeight="1" thickBot="1" x14ac:dyDescent="0.3">
      <c r="A14" s="308"/>
      <c r="B14" s="1055"/>
      <c r="C14" s="1055"/>
      <c r="D14" s="1057"/>
      <c r="E14" s="1059"/>
      <c r="F14" s="430" t="s">
        <v>201</v>
      </c>
      <c r="G14" s="398" t="s">
        <v>259</v>
      </c>
      <c r="H14" s="398" t="s">
        <v>280</v>
      </c>
      <c r="I14" s="424" t="s">
        <v>279</v>
      </c>
      <c r="J14" s="1063"/>
      <c r="K14" s="1065"/>
      <c r="L14" s="1067"/>
      <c r="M14" s="1087"/>
      <c r="N14" s="1087"/>
      <c r="O14" s="399" t="s">
        <v>4</v>
      </c>
      <c r="P14" s="422" t="s">
        <v>5</v>
      </c>
      <c r="Q14" s="398" t="s">
        <v>3</v>
      </c>
      <c r="R14" s="400" t="s">
        <v>15</v>
      </c>
      <c r="S14" s="398" t="s">
        <v>6</v>
      </c>
      <c r="T14" s="398" t="s">
        <v>7</v>
      </c>
      <c r="U14" s="1091"/>
      <c r="V14" s="1093"/>
      <c r="W14" s="311"/>
      <c r="X14" s="311"/>
      <c r="Y14" s="312"/>
      <c r="Z14" s="306"/>
      <c r="AA14" s="1068"/>
      <c r="AB14" s="1072"/>
      <c r="AC14" s="1073"/>
      <c r="AD14" s="1073"/>
      <c r="AE14" s="1073"/>
      <c r="AF14" s="1074"/>
      <c r="AG14" s="1072"/>
      <c r="AH14" s="1073"/>
      <c r="AI14" s="1073"/>
      <c r="AJ14" s="1073"/>
      <c r="AK14" s="1074"/>
      <c r="AL14" s="306"/>
      <c r="AM14" s="306"/>
      <c r="AN14" s="306"/>
      <c r="AO14" s="308"/>
      <c r="AP14" s="308"/>
      <c r="AQ14" s="308"/>
      <c r="AR14" s="308"/>
      <c r="AS14" s="308"/>
      <c r="AT14" s="308"/>
      <c r="AU14" s="308"/>
      <c r="AV14" s="308"/>
      <c r="AW14" s="308"/>
      <c r="AX14" s="308"/>
      <c r="AY14" s="308"/>
      <c r="AZ14" s="308"/>
      <c r="BA14" s="308"/>
      <c r="BB14" s="308"/>
      <c r="BC14" s="308"/>
      <c r="BD14" s="308"/>
      <c r="BE14" s="308"/>
      <c r="BF14" s="308"/>
      <c r="BG14" s="308"/>
      <c r="BH14" s="308"/>
      <c r="BI14" s="308"/>
      <c r="BJ14" s="308"/>
      <c r="BK14" s="308"/>
      <c r="BL14" s="308"/>
      <c r="BM14" s="308"/>
      <c r="BN14" s="308"/>
      <c r="BO14" s="308"/>
      <c r="BP14" s="308"/>
      <c r="BQ14" s="308"/>
      <c r="BR14" s="308"/>
      <c r="BS14" s="308"/>
      <c r="BT14" s="308"/>
      <c r="BU14" s="308"/>
      <c r="BV14" s="308"/>
      <c r="BW14" s="308"/>
      <c r="BX14" s="308"/>
      <c r="BY14" s="308"/>
      <c r="BZ14" s="308"/>
      <c r="CA14" s="308"/>
      <c r="CB14" s="308"/>
      <c r="CC14" s="308"/>
      <c r="CD14" s="308"/>
      <c r="CE14" s="308"/>
      <c r="CF14" s="308"/>
      <c r="CG14" s="308"/>
      <c r="CH14" s="308"/>
      <c r="CI14" s="308"/>
      <c r="CJ14" s="308"/>
      <c r="CK14" s="308"/>
      <c r="CL14" s="308"/>
      <c r="CM14" s="308"/>
      <c r="CN14" s="308"/>
      <c r="CO14" s="308"/>
      <c r="CP14" s="308"/>
      <c r="CQ14" s="308"/>
      <c r="CR14" s="308"/>
      <c r="CS14" s="308"/>
      <c r="CT14" s="308"/>
      <c r="CU14" s="308"/>
      <c r="CV14" s="308"/>
      <c r="CW14" s="308"/>
      <c r="CX14" s="308"/>
      <c r="CY14" s="308"/>
      <c r="CZ14" s="308"/>
      <c r="DA14" s="308"/>
      <c r="DB14" s="308"/>
      <c r="DC14" s="308"/>
      <c r="DD14" s="308"/>
      <c r="DE14" s="308"/>
      <c r="DF14" s="308"/>
      <c r="DG14" s="308"/>
      <c r="DH14" s="308"/>
      <c r="DI14" s="308"/>
      <c r="DJ14" s="308"/>
      <c r="DK14" s="308"/>
      <c r="DL14" s="308"/>
      <c r="DM14" s="308"/>
      <c r="DN14" s="308"/>
      <c r="DO14" s="308"/>
      <c r="DP14" s="308"/>
      <c r="DQ14" s="308"/>
      <c r="DR14" s="308"/>
      <c r="DS14" s="308"/>
      <c r="DT14" s="308"/>
      <c r="DU14" s="308"/>
    </row>
    <row r="15" spans="1:125" x14ac:dyDescent="0.25">
      <c r="A15" s="308"/>
      <c r="B15" s="401"/>
      <c r="C15" s="402"/>
      <c r="D15" s="403"/>
      <c r="E15" s="403"/>
      <c r="F15" s="431"/>
      <c r="G15" s="403"/>
      <c r="H15" s="403"/>
      <c r="I15" s="403"/>
      <c r="J15" s="403"/>
      <c r="K15" s="403"/>
      <c r="L15" s="403"/>
      <c r="M15" s="403"/>
      <c r="N15" s="403"/>
      <c r="O15" s="403"/>
      <c r="P15" s="403"/>
      <c r="Q15" s="403"/>
      <c r="R15" s="403"/>
      <c r="S15" s="403"/>
      <c r="T15" s="403"/>
      <c r="U15" s="403"/>
      <c r="V15" s="404"/>
      <c r="W15" s="304"/>
      <c r="X15" s="304"/>
      <c r="Y15" s="305"/>
      <c r="Z15" s="306"/>
      <c r="AA15" s="306"/>
      <c r="AB15" s="306"/>
      <c r="AC15" s="306"/>
      <c r="AD15" s="306"/>
      <c r="AE15" s="306"/>
      <c r="AF15" s="306"/>
      <c r="AG15" s="306"/>
      <c r="AH15" s="306"/>
      <c r="AI15" s="306"/>
      <c r="AJ15" s="306"/>
      <c r="AK15" s="306"/>
      <c r="AL15" s="306"/>
      <c r="AM15" s="306"/>
      <c r="AN15" s="306"/>
      <c r="AO15" s="308"/>
      <c r="AP15" s="308"/>
      <c r="AQ15" s="308"/>
      <c r="AR15" s="308"/>
      <c r="AS15" s="308"/>
      <c r="AT15" s="308"/>
      <c r="AU15" s="308"/>
      <c r="AV15" s="308"/>
      <c r="AW15" s="308"/>
      <c r="AX15" s="308"/>
      <c r="AY15" s="308"/>
      <c r="AZ15" s="308"/>
      <c r="BA15" s="308"/>
      <c r="BB15" s="308"/>
      <c r="BC15" s="308"/>
      <c r="BD15" s="308"/>
      <c r="BE15" s="308"/>
      <c r="BF15" s="308"/>
      <c r="BG15" s="308"/>
      <c r="BH15" s="308"/>
      <c r="BI15" s="308"/>
      <c r="BJ15" s="308"/>
      <c r="BK15" s="308"/>
      <c r="BL15" s="308"/>
      <c r="BM15" s="308"/>
      <c r="BN15" s="308"/>
      <c r="BO15" s="308"/>
      <c r="BP15" s="308"/>
      <c r="BQ15" s="308"/>
      <c r="BR15" s="308"/>
      <c r="BS15" s="308"/>
      <c r="BT15" s="308"/>
      <c r="BU15" s="308"/>
      <c r="BV15" s="308"/>
      <c r="BW15" s="308"/>
      <c r="BX15" s="308"/>
      <c r="BY15" s="308"/>
      <c r="BZ15" s="308"/>
      <c r="CA15" s="308"/>
      <c r="CB15" s="308"/>
      <c r="CC15" s="308"/>
      <c r="CD15" s="308"/>
      <c r="CE15" s="308"/>
      <c r="CF15" s="308"/>
      <c r="CG15" s="308"/>
      <c r="CH15" s="308"/>
      <c r="CI15" s="308"/>
      <c r="CJ15" s="308"/>
      <c r="CK15" s="308"/>
      <c r="CL15" s="308"/>
      <c r="CM15" s="308"/>
      <c r="CN15" s="308"/>
      <c r="CO15" s="308"/>
      <c r="CP15" s="308"/>
      <c r="CQ15" s="308"/>
      <c r="CR15" s="308"/>
      <c r="CS15" s="308"/>
      <c r="CT15" s="308"/>
      <c r="CU15" s="308"/>
      <c r="CV15" s="308"/>
      <c r="CW15" s="308"/>
      <c r="CX15" s="308"/>
      <c r="CY15" s="308"/>
      <c r="CZ15" s="308"/>
      <c r="DA15" s="308"/>
      <c r="DB15" s="308"/>
      <c r="DC15" s="308"/>
      <c r="DD15" s="308"/>
      <c r="DE15" s="308"/>
      <c r="DF15" s="308"/>
      <c r="DG15" s="308"/>
      <c r="DH15" s="308"/>
      <c r="DI15" s="308"/>
      <c r="DJ15" s="308"/>
      <c r="DK15" s="308"/>
      <c r="DL15" s="308"/>
      <c r="DM15" s="308"/>
      <c r="DN15" s="308"/>
      <c r="DO15" s="308"/>
      <c r="DP15" s="308"/>
      <c r="DQ15" s="308"/>
      <c r="DR15" s="308"/>
      <c r="DS15" s="308"/>
      <c r="DT15" s="308"/>
      <c r="DU15" s="308"/>
    </row>
    <row r="16" spans="1:125" s="394" customFormat="1" x14ac:dyDescent="0.25">
      <c r="A16" s="375"/>
      <c r="B16" s="376"/>
      <c r="C16" s="408" t="s">
        <v>215</v>
      </c>
      <c r="D16" s="409" t="s">
        <v>197</v>
      </c>
      <c r="E16" s="421">
        <f>+E17</f>
        <v>569955</v>
      </c>
      <c r="F16" s="432"/>
      <c r="G16" s="379"/>
      <c r="H16" s="380"/>
      <c r="I16" s="380"/>
      <c r="J16" s="379"/>
      <c r="K16" s="378"/>
      <c r="L16" s="379"/>
      <c r="M16" s="379"/>
      <c r="N16" s="381"/>
      <c r="O16" s="382"/>
      <c r="P16" s="383"/>
      <c r="Q16" s="383"/>
      <c r="R16" s="384"/>
      <c r="S16" s="385"/>
      <c r="T16" s="385"/>
      <c r="U16" s="386"/>
      <c r="V16" s="406"/>
      <c r="W16" s="387"/>
      <c r="X16" s="387"/>
      <c r="Y16" s="388"/>
      <c r="Z16" s="389"/>
      <c r="AA16" s="390">
        <v>18</v>
      </c>
      <c r="AB16" s="391">
        <v>0.4</v>
      </c>
      <c r="AC16" s="391">
        <v>0.2</v>
      </c>
      <c r="AD16" s="391">
        <v>0.15</v>
      </c>
      <c r="AE16" s="391">
        <v>0.15</v>
      </c>
      <c r="AF16" s="391">
        <v>0.1</v>
      </c>
      <c r="AG16" s="392">
        <f t="shared" ref="AG16:AK19" si="0">+AB16*$F16</f>
        <v>0</v>
      </c>
      <c r="AH16" s="392">
        <f t="shared" si="0"/>
        <v>0</v>
      </c>
      <c r="AI16" s="392">
        <f t="shared" si="0"/>
        <v>0</v>
      </c>
      <c r="AJ16" s="392">
        <f t="shared" si="0"/>
        <v>0</v>
      </c>
      <c r="AK16" s="392">
        <f t="shared" si="0"/>
        <v>0</v>
      </c>
      <c r="AL16" s="393"/>
      <c r="AM16" s="389"/>
      <c r="AN16" s="389"/>
    </row>
    <row r="17" spans="1:125" s="394" customFormat="1" ht="76.5" x14ac:dyDescent="0.25">
      <c r="B17" s="376" t="s">
        <v>226</v>
      </c>
      <c r="C17" s="408"/>
      <c r="D17" s="405" t="s">
        <v>232</v>
      </c>
      <c r="E17" s="377">
        <f>569955</f>
        <v>569955</v>
      </c>
      <c r="F17" s="432">
        <f>+E17</f>
        <v>569955</v>
      </c>
      <c r="G17" s="379">
        <v>0</v>
      </c>
      <c r="H17" s="380">
        <f>+F17*0.12</f>
        <v>68394.599999999991</v>
      </c>
      <c r="I17" s="380">
        <v>0</v>
      </c>
      <c r="J17" s="379">
        <f>+F17+H17</f>
        <v>638349.6</v>
      </c>
      <c r="K17" s="378" t="s">
        <v>260</v>
      </c>
      <c r="L17" s="379" t="s">
        <v>261</v>
      </c>
      <c r="M17" s="380" t="s">
        <v>262</v>
      </c>
      <c r="N17" s="381" t="s">
        <v>233</v>
      </c>
      <c r="O17" s="382">
        <f>+F17/E17</f>
        <v>1</v>
      </c>
      <c r="P17" s="383">
        <f>+G17/E17</f>
        <v>0</v>
      </c>
      <c r="Q17" s="383"/>
      <c r="R17" s="384">
        <f>+O17+P17</f>
        <v>1</v>
      </c>
      <c r="S17" s="385">
        <v>43586</v>
      </c>
      <c r="T17" s="385" t="s">
        <v>263</v>
      </c>
      <c r="U17" s="385" t="s">
        <v>264</v>
      </c>
      <c r="V17" s="406"/>
      <c r="W17" s="387"/>
      <c r="X17" s="387"/>
      <c r="Y17" s="388"/>
      <c r="Z17" s="389"/>
      <c r="AA17" s="390"/>
      <c r="AB17" s="391"/>
      <c r="AC17" s="391"/>
      <c r="AD17" s="391"/>
      <c r="AE17" s="391"/>
      <c r="AF17" s="391"/>
      <c r="AG17" s="392"/>
      <c r="AH17" s="392"/>
      <c r="AI17" s="392"/>
      <c r="AJ17" s="392"/>
      <c r="AK17" s="392"/>
      <c r="AL17" s="393"/>
      <c r="AM17" s="389"/>
      <c r="AN17" s="389"/>
    </row>
    <row r="18" spans="1:125" s="394" customFormat="1" x14ac:dyDescent="0.25">
      <c r="B18" s="376"/>
      <c r="C18" s="408" t="s">
        <v>216</v>
      </c>
      <c r="D18" s="409" t="s">
        <v>217</v>
      </c>
      <c r="E18" s="421">
        <f>+E19+E21+E36+E38</f>
        <v>583730</v>
      </c>
      <c r="F18" s="432"/>
      <c r="G18" s="379"/>
      <c r="H18" s="380"/>
      <c r="I18" s="380"/>
      <c r="J18" s="379"/>
      <c r="K18" s="378"/>
      <c r="L18" s="379"/>
      <c r="M18" s="379"/>
      <c r="N18" s="395"/>
      <c r="O18" s="382"/>
      <c r="P18" s="383"/>
      <c r="Q18" s="383"/>
      <c r="R18" s="384"/>
      <c r="S18" s="385"/>
      <c r="T18" s="385"/>
      <c r="U18" s="385"/>
      <c r="V18" s="406"/>
      <c r="W18" s="387"/>
      <c r="X18" s="387"/>
      <c r="Y18" s="388"/>
      <c r="Z18" s="389"/>
      <c r="AA18" s="390"/>
      <c r="AB18" s="391"/>
      <c r="AC18" s="391"/>
      <c r="AD18" s="391"/>
      <c r="AE18" s="391"/>
      <c r="AF18" s="391"/>
      <c r="AG18" s="392"/>
      <c r="AH18" s="392"/>
      <c r="AI18" s="392"/>
      <c r="AJ18" s="392"/>
      <c r="AK18" s="392"/>
      <c r="AL18" s="393"/>
      <c r="AM18" s="389"/>
      <c r="AN18" s="389"/>
    </row>
    <row r="19" spans="1:125" s="394" customFormat="1" x14ac:dyDescent="0.25">
      <c r="A19" s="375"/>
      <c r="B19" s="376"/>
      <c r="C19" s="408" t="s">
        <v>218</v>
      </c>
      <c r="D19" s="409" t="s">
        <v>222</v>
      </c>
      <c r="E19" s="377">
        <f>+E20</f>
        <v>446540</v>
      </c>
      <c r="F19" s="432"/>
      <c r="G19" s="379"/>
      <c r="H19" s="380"/>
      <c r="I19" s="380"/>
      <c r="J19" s="379"/>
      <c r="K19" s="378"/>
      <c r="L19" s="379"/>
      <c r="M19" s="380"/>
      <c r="N19" s="381"/>
      <c r="O19" s="382"/>
      <c r="P19" s="383"/>
      <c r="Q19" s="383"/>
      <c r="R19" s="384"/>
      <c r="S19" s="385"/>
      <c r="T19" s="385"/>
      <c r="U19" s="396"/>
      <c r="V19" s="406"/>
      <c r="W19" s="387"/>
      <c r="X19" s="387"/>
      <c r="Y19" s="388"/>
      <c r="Z19" s="389"/>
      <c r="AA19" s="390">
        <v>18</v>
      </c>
      <c r="AB19" s="391">
        <v>0.4</v>
      </c>
      <c r="AC19" s="391">
        <v>0.2</v>
      </c>
      <c r="AD19" s="391">
        <v>0.15</v>
      </c>
      <c r="AE19" s="391">
        <v>0.15</v>
      </c>
      <c r="AF19" s="391">
        <v>0.1</v>
      </c>
      <c r="AG19" s="392">
        <f t="shared" si="0"/>
        <v>0</v>
      </c>
      <c r="AH19" s="392">
        <f t="shared" si="0"/>
        <v>0</v>
      </c>
      <c r="AI19" s="392">
        <f t="shared" si="0"/>
        <v>0</v>
      </c>
      <c r="AJ19" s="392">
        <f t="shared" si="0"/>
        <v>0</v>
      </c>
      <c r="AK19" s="392">
        <f t="shared" si="0"/>
        <v>0</v>
      </c>
      <c r="AL19" s="389"/>
      <c r="AM19" s="389"/>
      <c r="AN19" s="389"/>
    </row>
    <row r="20" spans="1:125" s="139" customFormat="1" ht="67.5" customHeight="1" x14ac:dyDescent="0.25">
      <c r="A20" s="308"/>
      <c r="B20" s="376" t="s">
        <v>227</v>
      </c>
      <c r="C20" s="408"/>
      <c r="D20" s="405" t="s">
        <v>231</v>
      </c>
      <c r="E20" s="377">
        <v>446540</v>
      </c>
      <c r="F20" s="432">
        <f>+E20</f>
        <v>446540</v>
      </c>
      <c r="G20" s="379">
        <v>0</v>
      </c>
      <c r="H20" s="380">
        <f>+F20*0.12</f>
        <v>53584.799999999996</v>
      </c>
      <c r="I20" s="380">
        <v>0</v>
      </c>
      <c r="J20" s="379"/>
      <c r="K20" s="378" t="s">
        <v>260</v>
      </c>
      <c r="L20" s="379" t="s">
        <v>261</v>
      </c>
      <c r="M20" s="380" t="s">
        <v>262</v>
      </c>
      <c r="N20" s="381" t="s">
        <v>233</v>
      </c>
      <c r="O20" s="382">
        <f>+F20/E20</f>
        <v>1</v>
      </c>
      <c r="P20" s="383">
        <f>+G20/E20</f>
        <v>0</v>
      </c>
      <c r="Q20" s="383"/>
      <c r="R20" s="384">
        <f>+O20+P20</f>
        <v>1</v>
      </c>
      <c r="S20" s="385">
        <v>43586</v>
      </c>
      <c r="T20" s="385" t="s">
        <v>265</v>
      </c>
      <c r="U20" s="385" t="s">
        <v>266</v>
      </c>
      <c r="V20" s="407"/>
      <c r="W20" s="313"/>
      <c r="X20" s="313"/>
      <c r="Y20" s="314"/>
      <c r="Z20" s="306"/>
      <c r="AA20" s="315"/>
      <c r="AB20" s="316"/>
      <c r="AC20" s="316"/>
      <c r="AD20" s="316"/>
      <c r="AE20" s="316"/>
      <c r="AF20" s="316"/>
      <c r="AG20" s="317"/>
      <c r="AH20" s="317"/>
      <c r="AI20" s="317"/>
      <c r="AJ20" s="317"/>
      <c r="AK20" s="317"/>
      <c r="AL20" s="306"/>
      <c r="AM20" s="306"/>
      <c r="AN20" s="306"/>
      <c r="AO20" s="308"/>
      <c r="AP20" s="308"/>
      <c r="AQ20" s="308"/>
      <c r="AR20" s="308"/>
      <c r="AS20" s="308"/>
      <c r="AT20" s="308"/>
      <c r="AU20" s="308"/>
      <c r="AV20" s="308"/>
      <c r="AW20" s="308"/>
      <c r="AX20" s="308"/>
      <c r="AY20" s="308"/>
      <c r="AZ20" s="308"/>
      <c r="BA20" s="308"/>
      <c r="BB20" s="308"/>
      <c r="BC20" s="308"/>
      <c r="BD20" s="308"/>
      <c r="BE20" s="308"/>
      <c r="BF20" s="308"/>
      <c r="BG20" s="308"/>
      <c r="BH20" s="308"/>
      <c r="BI20" s="308"/>
      <c r="BJ20" s="308"/>
      <c r="BK20" s="308"/>
      <c r="BL20" s="308"/>
      <c r="BM20" s="308"/>
      <c r="BN20" s="308"/>
      <c r="BO20" s="308"/>
      <c r="BP20" s="308"/>
      <c r="BQ20" s="308"/>
      <c r="BR20" s="308"/>
      <c r="BS20" s="308"/>
      <c r="BT20" s="308"/>
      <c r="BU20" s="308"/>
      <c r="BV20" s="308"/>
      <c r="BW20" s="308"/>
      <c r="BX20" s="308"/>
      <c r="BY20" s="308"/>
      <c r="BZ20" s="308"/>
      <c r="CA20" s="308"/>
      <c r="CB20" s="308"/>
      <c r="CC20" s="308"/>
      <c r="CD20" s="308"/>
      <c r="CE20" s="308"/>
      <c r="CF20" s="308"/>
      <c r="CG20" s="308"/>
      <c r="CH20" s="308"/>
      <c r="CI20" s="308"/>
      <c r="CJ20" s="308"/>
      <c r="CK20" s="308"/>
      <c r="CL20" s="308"/>
      <c r="CM20" s="308"/>
      <c r="CN20" s="308"/>
      <c r="CO20" s="308"/>
      <c r="CP20" s="308"/>
      <c r="CQ20" s="308"/>
      <c r="CR20" s="308"/>
      <c r="CS20" s="308"/>
      <c r="CT20" s="308"/>
      <c r="CU20" s="308"/>
      <c r="CV20" s="308"/>
      <c r="CW20" s="308"/>
      <c r="CX20" s="308"/>
      <c r="CY20" s="308"/>
      <c r="CZ20" s="308"/>
      <c r="DA20" s="308"/>
      <c r="DB20" s="308"/>
      <c r="DC20" s="308"/>
      <c r="DD20" s="308"/>
      <c r="DE20" s="308"/>
      <c r="DF20" s="308"/>
      <c r="DG20" s="308"/>
      <c r="DH20" s="308"/>
      <c r="DI20" s="308"/>
      <c r="DJ20" s="308"/>
      <c r="DK20" s="308"/>
      <c r="DL20" s="308"/>
      <c r="DM20" s="308"/>
      <c r="DN20" s="308"/>
      <c r="DO20" s="308"/>
      <c r="DP20" s="308"/>
      <c r="DQ20" s="308"/>
      <c r="DR20" s="308"/>
      <c r="DS20" s="308"/>
      <c r="DT20" s="308"/>
      <c r="DU20" s="308"/>
    </row>
    <row r="21" spans="1:125" s="139" customFormat="1" x14ac:dyDescent="0.25">
      <c r="A21" s="308"/>
      <c r="B21" s="376"/>
      <c r="C21" s="408" t="s">
        <v>219</v>
      </c>
      <c r="D21" s="409" t="s">
        <v>223</v>
      </c>
      <c r="E21" s="377">
        <f>SUM(E22:E31)</f>
        <v>123190</v>
      </c>
      <c r="F21" s="432"/>
      <c r="G21" s="379"/>
      <c r="H21" s="380"/>
      <c r="I21" s="380"/>
      <c r="J21" s="379"/>
      <c r="K21" s="378"/>
      <c r="L21" s="379"/>
      <c r="M21" s="380"/>
      <c r="N21" s="381"/>
      <c r="O21" s="382"/>
      <c r="P21" s="383"/>
      <c r="Q21" s="383"/>
      <c r="R21" s="384"/>
      <c r="S21" s="385"/>
      <c r="T21" s="385"/>
      <c r="U21" s="385"/>
      <c r="V21" s="407"/>
      <c r="W21" s="313"/>
      <c r="X21" s="313"/>
      <c r="Y21" s="314"/>
      <c r="Z21" s="306"/>
      <c r="AA21" s="315"/>
      <c r="AB21" s="316"/>
      <c r="AC21" s="316"/>
      <c r="AD21" s="316"/>
      <c r="AE21" s="316"/>
      <c r="AF21" s="316"/>
      <c r="AG21" s="317"/>
      <c r="AH21" s="317"/>
      <c r="AI21" s="317"/>
      <c r="AJ21" s="317"/>
      <c r="AK21" s="317"/>
      <c r="AL21" s="306"/>
      <c r="AM21" s="306"/>
      <c r="AN21" s="306"/>
      <c r="AO21" s="308"/>
      <c r="AP21" s="308"/>
      <c r="AQ21" s="308"/>
      <c r="AR21" s="308"/>
      <c r="AS21" s="308"/>
      <c r="AT21" s="308"/>
      <c r="AU21" s="308"/>
      <c r="AV21" s="308"/>
      <c r="AW21" s="308"/>
      <c r="AX21" s="308"/>
      <c r="AY21" s="308"/>
      <c r="AZ21" s="308"/>
      <c r="BA21" s="308"/>
      <c r="BB21" s="308"/>
      <c r="BC21" s="308"/>
      <c r="BD21" s="308"/>
      <c r="BE21" s="308"/>
      <c r="BF21" s="308"/>
      <c r="BG21" s="308"/>
      <c r="BH21" s="308"/>
      <c r="BI21" s="308"/>
      <c r="BJ21" s="308"/>
      <c r="BK21" s="308"/>
      <c r="BL21" s="308"/>
      <c r="BM21" s="308"/>
      <c r="BN21" s="308"/>
      <c r="BO21" s="308"/>
      <c r="BP21" s="308"/>
      <c r="BQ21" s="308"/>
      <c r="BR21" s="308"/>
      <c r="BS21" s="308"/>
      <c r="BT21" s="308"/>
      <c r="BU21" s="308"/>
      <c r="BV21" s="308"/>
      <c r="BW21" s="308"/>
      <c r="BX21" s="308"/>
      <c r="BY21" s="308"/>
      <c r="BZ21" s="308"/>
      <c r="CA21" s="308"/>
      <c r="CB21" s="308"/>
      <c r="CC21" s="308"/>
      <c r="CD21" s="308"/>
      <c r="CE21" s="308"/>
      <c r="CF21" s="308"/>
      <c r="CG21" s="308"/>
      <c r="CH21" s="308"/>
      <c r="CI21" s="308"/>
      <c r="CJ21" s="308"/>
      <c r="CK21" s="308"/>
      <c r="CL21" s="308"/>
      <c r="CM21" s="308"/>
      <c r="CN21" s="308"/>
      <c r="CO21" s="308"/>
      <c r="CP21" s="308"/>
      <c r="CQ21" s="308"/>
      <c r="CR21" s="308"/>
      <c r="CS21" s="308"/>
      <c r="CT21" s="308"/>
      <c r="CU21" s="308"/>
      <c r="CV21" s="308"/>
      <c r="CW21" s="308"/>
      <c r="CX21" s="308"/>
      <c r="CY21" s="308"/>
      <c r="CZ21" s="308"/>
      <c r="DA21" s="308"/>
      <c r="DB21" s="308"/>
      <c r="DC21" s="308"/>
      <c r="DD21" s="308"/>
      <c r="DE21" s="308"/>
      <c r="DF21" s="308"/>
      <c r="DG21" s="308"/>
      <c r="DH21" s="308"/>
      <c r="DI21" s="308"/>
      <c r="DJ21" s="308"/>
      <c r="DK21" s="308"/>
      <c r="DL21" s="308"/>
      <c r="DM21" s="308"/>
      <c r="DN21" s="308"/>
      <c r="DO21" s="308"/>
      <c r="DP21" s="308"/>
      <c r="DQ21" s="308"/>
      <c r="DR21" s="308"/>
      <c r="DS21" s="308"/>
      <c r="DT21" s="308"/>
      <c r="DU21" s="308"/>
    </row>
    <row r="22" spans="1:125" s="2" customFormat="1" ht="65.25" customHeight="1" x14ac:dyDescent="0.25">
      <c r="A22" s="325"/>
      <c r="B22" s="376" t="s">
        <v>228</v>
      </c>
      <c r="C22" s="408"/>
      <c r="D22" s="405" t="s">
        <v>236</v>
      </c>
      <c r="E22" s="417"/>
      <c r="F22" s="433">
        <f t="shared" ref="F22:F29" si="1">+E22</f>
        <v>0</v>
      </c>
      <c r="G22" s="379"/>
      <c r="H22" s="380">
        <f t="shared" ref="H22:H35" si="2">+F22*0.12</f>
        <v>0</v>
      </c>
      <c r="I22" s="380"/>
      <c r="J22" s="379"/>
      <c r="K22" s="438" t="s">
        <v>237</v>
      </c>
      <c r="L22" s="379" t="s">
        <v>267</v>
      </c>
      <c r="M22" s="380"/>
      <c r="N22" s="419" t="s">
        <v>233</v>
      </c>
      <c r="O22" s="382" t="e">
        <f>+F22/E22</f>
        <v>#DIV/0!</v>
      </c>
      <c r="P22" s="383"/>
      <c r="Q22" s="383"/>
      <c r="R22" s="384"/>
      <c r="S22" s="385">
        <v>43556</v>
      </c>
      <c r="T22" s="385" t="s">
        <v>263</v>
      </c>
      <c r="U22" s="386" t="s">
        <v>270</v>
      </c>
      <c r="V22" s="406" t="s">
        <v>269</v>
      </c>
      <c r="W22" s="313"/>
      <c r="X22" s="313"/>
      <c r="Y22" s="314"/>
      <c r="Z22" s="306"/>
      <c r="AA22" s="315">
        <v>12</v>
      </c>
      <c r="AB22" s="316">
        <v>0.4</v>
      </c>
      <c r="AC22" s="316">
        <v>0.2</v>
      </c>
      <c r="AD22" s="316">
        <v>0.05</v>
      </c>
      <c r="AE22" s="316">
        <v>0.25</v>
      </c>
      <c r="AF22" s="316">
        <v>0.1</v>
      </c>
      <c r="AG22" s="317">
        <f t="shared" ref="AG22:AK39" si="3">+AB22*$F22</f>
        <v>0</v>
      </c>
      <c r="AH22" s="317">
        <f t="shared" si="3"/>
        <v>0</v>
      </c>
      <c r="AI22" s="317">
        <f t="shared" si="3"/>
        <v>0</v>
      </c>
      <c r="AJ22" s="317">
        <f t="shared" si="3"/>
        <v>0</v>
      </c>
      <c r="AK22" s="317">
        <f t="shared" si="3"/>
        <v>0</v>
      </c>
      <c r="AL22" s="318"/>
      <c r="AM22" s="306"/>
      <c r="AN22" s="306"/>
      <c r="AO22" s="308"/>
      <c r="AP22" s="308"/>
      <c r="AQ22" s="308"/>
      <c r="AR22" s="308"/>
      <c r="AS22" s="308"/>
      <c r="AT22" s="308"/>
      <c r="AU22" s="308"/>
      <c r="AV22" s="308"/>
      <c r="AW22" s="308"/>
      <c r="AX22" s="308"/>
      <c r="AY22" s="308"/>
      <c r="AZ22" s="308"/>
      <c r="BA22" s="308"/>
      <c r="BB22" s="308"/>
      <c r="BC22" s="308"/>
      <c r="BD22" s="308"/>
      <c r="BE22" s="308"/>
      <c r="BF22" s="308"/>
      <c r="BG22" s="308"/>
      <c r="BH22" s="308"/>
      <c r="BI22" s="308"/>
      <c r="BJ22" s="308"/>
      <c r="BK22" s="308"/>
      <c r="BL22" s="308"/>
      <c r="BM22" s="308"/>
      <c r="BN22" s="308"/>
      <c r="BO22" s="308"/>
      <c r="BP22" s="308"/>
      <c r="BQ22" s="308"/>
      <c r="BR22" s="308"/>
      <c r="BS22" s="308"/>
      <c r="BT22" s="308"/>
      <c r="BU22" s="308"/>
      <c r="BV22" s="308"/>
      <c r="BW22" s="308"/>
      <c r="BX22" s="308"/>
      <c r="BY22" s="308"/>
      <c r="BZ22" s="308"/>
      <c r="CA22" s="308"/>
      <c r="CB22" s="308"/>
      <c r="CC22" s="308"/>
      <c r="CD22" s="308"/>
      <c r="CE22" s="308"/>
      <c r="CF22" s="308"/>
      <c r="CG22" s="308"/>
      <c r="CH22" s="308"/>
      <c r="CI22" s="308"/>
      <c r="CJ22" s="308"/>
      <c r="CK22" s="308"/>
      <c r="CL22" s="308"/>
      <c r="CM22" s="308"/>
      <c r="CN22" s="308"/>
      <c r="CO22" s="308"/>
      <c r="CP22" s="308"/>
      <c r="CQ22" s="308"/>
      <c r="CR22" s="308"/>
      <c r="CS22" s="308"/>
      <c r="CT22" s="308"/>
      <c r="CU22" s="308"/>
      <c r="CV22" s="308"/>
      <c r="CW22" s="308"/>
      <c r="CX22" s="308"/>
      <c r="CY22" s="308"/>
      <c r="CZ22" s="308"/>
      <c r="DA22" s="308"/>
      <c r="DB22" s="308"/>
      <c r="DC22" s="308"/>
      <c r="DD22" s="308"/>
      <c r="DE22" s="308"/>
      <c r="DF22" s="308"/>
      <c r="DG22" s="308"/>
      <c r="DH22" s="308"/>
      <c r="DI22" s="308"/>
      <c r="DJ22" s="308"/>
      <c r="DK22" s="308"/>
      <c r="DL22" s="308"/>
      <c r="DM22" s="308"/>
      <c r="DN22" s="308"/>
      <c r="DO22" s="308"/>
      <c r="DP22" s="308"/>
      <c r="DQ22" s="308"/>
      <c r="DR22" s="308"/>
      <c r="DS22" s="308"/>
      <c r="DT22" s="308"/>
      <c r="DU22" s="308"/>
    </row>
    <row r="23" spans="1:125" s="2" customFormat="1" ht="65.25" customHeight="1" x14ac:dyDescent="0.25">
      <c r="A23" s="325"/>
      <c r="B23" s="376" t="s">
        <v>238</v>
      </c>
      <c r="C23" s="426"/>
      <c r="D23" s="427" t="s">
        <v>239</v>
      </c>
      <c r="E23" s="417" t="s">
        <v>268</v>
      </c>
      <c r="F23" s="433" t="str">
        <f t="shared" si="1"/>
        <v>POR DEFINIR</v>
      </c>
      <c r="G23" s="418"/>
      <c r="H23" s="380" t="e">
        <f t="shared" si="2"/>
        <v>#VALUE!</v>
      </c>
      <c r="I23" s="419"/>
      <c r="J23" s="418"/>
      <c r="K23" s="439" t="s">
        <v>237</v>
      </c>
      <c r="L23" s="418" t="s">
        <v>267</v>
      </c>
      <c r="M23" s="419"/>
      <c r="N23" s="419" t="s">
        <v>233</v>
      </c>
      <c r="O23" s="382" t="e">
        <f>+F23/E23</f>
        <v>#VALUE!</v>
      </c>
      <c r="P23" s="383"/>
      <c r="Q23" s="383"/>
      <c r="R23" s="384"/>
      <c r="S23" s="385"/>
      <c r="T23" s="385"/>
      <c r="U23" s="386"/>
      <c r="V23" s="406"/>
      <c r="W23" s="313"/>
      <c r="X23" s="313"/>
      <c r="Y23" s="314"/>
      <c r="Z23" s="306"/>
      <c r="AA23" s="315"/>
      <c r="AB23" s="316"/>
      <c r="AC23" s="316"/>
      <c r="AD23" s="316"/>
      <c r="AE23" s="316"/>
      <c r="AF23" s="316"/>
      <c r="AG23" s="317"/>
      <c r="AH23" s="317"/>
      <c r="AI23" s="317"/>
      <c r="AJ23" s="317"/>
      <c r="AK23" s="317"/>
      <c r="AL23" s="318"/>
      <c r="AM23" s="306"/>
      <c r="AN23" s="306"/>
      <c r="AO23" s="308"/>
      <c r="AP23" s="308"/>
      <c r="AQ23" s="308"/>
      <c r="AR23" s="308"/>
      <c r="AS23" s="308"/>
      <c r="AT23" s="308"/>
      <c r="AU23" s="308"/>
      <c r="AV23" s="308"/>
      <c r="AW23" s="308"/>
      <c r="AX23" s="308"/>
      <c r="AY23" s="308"/>
      <c r="AZ23" s="308"/>
      <c r="BA23" s="308"/>
      <c r="BB23" s="308"/>
      <c r="BC23" s="308"/>
      <c r="BD23" s="308"/>
      <c r="BE23" s="308"/>
      <c r="BF23" s="308"/>
      <c r="BG23" s="308"/>
      <c r="BH23" s="308"/>
      <c r="BI23" s="308"/>
      <c r="BJ23" s="308"/>
      <c r="BK23" s="308"/>
      <c r="BL23" s="308"/>
      <c r="BM23" s="308"/>
      <c r="BN23" s="308"/>
      <c r="BO23" s="308"/>
      <c r="BP23" s="308"/>
      <c r="BQ23" s="308"/>
      <c r="BR23" s="308"/>
      <c r="BS23" s="308"/>
      <c r="BT23" s="308"/>
      <c r="BU23" s="308"/>
      <c r="BV23" s="308"/>
      <c r="BW23" s="308"/>
      <c r="BX23" s="308"/>
      <c r="BY23" s="308"/>
      <c r="BZ23" s="308"/>
      <c r="CA23" s="308"/>
      <c r="CB23" s="308"/>
      <c r="CC23" s="308"/>
      <c r="CD23" s="308"/>
      <c r="CE23" s="308"/>
      <c r="CF23" s="308"/>
      <c r="CG23" s="308"/>
      <c r="CH23" s="308"/>
      <c r="CI23" s="308"/>
      <c r="CJ23" s="308"/>
      <c r="CK23" s="308"/>
      <c r="CL23" s="308"/>
      <c r="CM23" s="308"/>
      <c r="CN23" s="308"/>
      <c r="CO23" s="308"/>
      <c r="CP23" s="308"/>
      <c r="CQ23" s="308"/>
      <c r="CR23" s="308"/>
      <c r="CS23" s="308"/>
      <c r="CT23" s="308"/>
      <c r="CU23" s="308"/>
      <c r="CV23" s="308"/>
      <c r="CW23" s="308"/>
      <c r="CX23" s="308"/>
      <c r="CY23" s="308"/>
      <c r="CZ23" s="308"/>
      <c r="DA23" s="308"/>
      <c r="DB23" s="308"/>
      <c r="DC23" s="308"/>
      <c r="DD23" s="308"/>
      <c r="DE23" s="308"/>
      <c r="DF23" s="308"/>
      <c r="DG23" s="308"/>
      <c r="DH23" s="308"/>
      <c r="DI23" s="308"/>
      <c r="DJ23" s="308"/>
      <c r="DK23" s="308"/>
      <c r="DL23" s="308"/>
      <c r="DM23" s="308"/>
      <c r="DN23" s="308"/>
      <c r="DO23" s="308"/>
      <c r="DP23" s="308"/>
      <c r="DQ23" s="308"/>
      <c r="DR23" s="308"/>
      <c r="DS23" s="308"/>
      <c r="DT23" s="308"/>
      <c r="DU23" s="308"/>
    </row>
    <row r="24" spans="1:125" s="2" customFormat="1" ht="65.25" customHeight="1" x14ac:dyDescent="0.25">
      <c r="A24" s="325"/>
      <c r="B24" s="376" t="s">
        <v>240</v>
      </c>
      <c r="C24" s="408" t="s">
        <v>249</v>
      </c>
      <c r="D24" s="405" t="s">
        <v>242</v>
      </c>
      <c r="E24" s="417">
        <v>15000</v>
      </c>
      <c r="F24" s="433">
        <f t="shared" si="1"/>
        <v>15000</v>
      </c>
      <c r="G24" s="379"/>
      <c r="H24" s="380">
        <f t="shared" si="2"/>
        <v>1800</v>
      </c>
      <c r="I24" s="380"/>
      <c r="J24" s="379"/>
      <c r="K24" s="438" t="s">
        <v>271</v>
      </c>
      <c r="L24" s="379" t="s">
        <v>272</v>
      </c>
      <c r="M24" s="380"/>
      <c r="N24" s="380" t="s">
        <v>241</v>
      </c>
      <c r="O24" s="382">
        <f>+F24/E24</f>
        <v>1</v>
      </c>
      <c r="P24" s="383"/>
      <c r="Q24" s="383"/>
      <c r="R24" s="384"/>
      <c r="S24" s="385" t="s">
        <v>273</v>
      </c>
      <c r="T24" s="385">
        <v>43617</v>
      </c>
      <c r="U24" s="386" t="s">
        <v>274</v>
      </c>
      <c r="V24" s="406"/>
      <c r="W24" s="313"/>
      <c r="X24" s="313"/>
      <c r="Y24" s="314"/>
      <c r="Z24" s="306"/>
      <c r="AA24" s="315"/>
      <c r="AB24" s="316"/>
      <c r="AC24" s="316"/>
      <c r="AD24" s="316"/>
      <c r="AE24" s="316"/>
      <c r="AF24" s="316"/>
      <c r="AG24" s="317"/>
      <c r="AH24" s="317"/>
      <c r="AI24" s="317"/>
      <c r="AJ24" s="317"/>
      <c r="AK24" s="317"/>
      <c r="AL24" s="318"/>
      <c r="AM24" s="306"/>
      <c r="AN24" s="306"/>
      <c r="AO24" s="308"/>
      <c r="AP24" s="308"/>
      <c r="AQ24" s="308"/>
      <c r="AR24" s="308"/>
      <c r="AS24" s="308"/>
      <c r="AT24" s="308"/>
      <c r="AU24" s="308"/>
      <c r="AV24" s="308"/>
      <c r="AW24" s="308"/>
      <c r="AX24" s="308"/>
      <c r="AY24" s="308"/>
      <c r="AZ24" s="308"/>
      <c r="BA24" s="308"/>
      <c r="BB24" s="308"/>
      <c r="BC24" s="308"/>
      <c r="BD24" s="308"/>
      <c r="BE24" s="308"/>
      <c r="BF24" s="308"/>
      <c r="BG24" s="308"/>
      <c r="BH24" s="308"/>
      <c r="BI24" s="308"/>
      <c r="BJ24" s="308"/>
      <c r="BK24" s="308"/>
      <c r="BL24" s="308"/>
      <c r="BM24" s="308"/>
      <c r="BN24" s="308"/>
      <c r="BO24" s="308"/>
      <c r="BP24" s="308"/>
      <c r="BQ24" s="308"/>
      <c r="BR24" s="308"/>
      <c r="BS24" s="308"/>
      <c r="BT24" s="308"/>
      <c r="BU24" s="308"/>
      <c r="BV24" s="308"/>
      <c r="BW24" s="308"/>
      <c r="BX24" s="308"/>
      <c r="BY24" s="308"/>
      <c r="BZ24" s="308"/>
      <c r="CA24" s="308"/>
      <c r="CB24" s="308"/>
      <c r="CC24" s="308"/>
      <c r="CD24" s="308"/>
      <c r="CE24" s="308"/>
      <c r="CF24" s="308"/>
      <c r="CG24" s="308"/>
      <c r="CH24" s="308"/>
      <c r="CI24" s="308"/>
      <c r="CJ24" s="308"/>
      <c r="CK24" s="308"/>
      <c r="CL24" s="308"/>
      <c r="CM24" s="308"/>
      <c r="CN24" s="308"/>
      <c r="CO24" s="308"/>
      <c r="CP24" s="308"/>
      <c r="CQ24" s="308"/>
      <c r="CR24" s="308"/>
      <c r="CS24" s="308"/>
      <c r="CT24" s="308"/>
      <c r="CU24" s="308"/>
      <c r="CV24" s="308"/>
      <c r="CW24" s="308"/>
      <c r="CX24" s="308"/>
      <c r="CY24" s="308"/>
      <c r="CZ24" s="308"/>
      <c r="DA24" s="308"/>
      <c r="DB24" s="308"/>
      <c r="DC24" s="308"/>
      <c r="DD24" s="308"/>
      <c r="DE24" s="308"/>
      <c r="DF24" s="308"/>
      <c r="DG24" s="308"/>
      <c r="DH24" s="308"/>
      <c r="DI24" s="308"/>
      <c r="DJ24" s="308"/>
      <c r="DK24" s="308"/>
      <c r="DL24" s="308"/>
      <c r="DM24" s="308"/>
      <c r="DN24" s="308"/>
      <c r="DO24" s="308"/>
      <c r="DP24" s="308"/>
      <c r="DQ24" s="308"/>
      <c r="DR24" s="308"/>
      <c r="DS24" s="308"/>
      <c r="DT24" s="308"/>
      <c r="DU24" s="308"/>
    </row>
    <row r="25" spans="1:125" s="2" customFormat="1" ht="65.25" customHeight="1" x14ac:dyDescent="0.25">
      <c r="A25" s="325"/>
      <c r="B25" s="376" t="s">
        <v>250</v>
      </c>
      <c r="C25" s="408" t="s">
        <v>249</v>
      </c>
      <c r="D25" s="405" t="s">
        <v>243</v>
      </c>
      <c r="E25" s="417">
        <v>15000</v>
      </c>
      <c r="F25" s="433">
        <f t="shared" si="1"/>
        <v>15000</v>
      </c>
      <c r="G25" s="379"/>
      <c r="H25" s="380">
        <f t="shared" si="2"/>
        <v>1800</v>
      </c>
      <c r="I25" s="380"/>
      <c r="J25" s="379"/>
      <c r="K25" s="438" t="s">
        <v>271</v>
      </c>
      <c r="L25" s="379" t="s">
        <v>272</v>
      </c>
      <c r="M25" s="380"/>
      <c r="N25" s="380" t="s">
        <v>241</v>
      </c>
      <c r="O25" s="382">
        <f>+F25/E25</f>
        <v>1</v>
      </c>
      <c r="P25" s="383"/>
      <c r="Q25" s="383"/>
      <c r="R25" s="384"/>
      <c r="S25" s="385" t="s">
        <v>273</v>
      </c>
      <c r="T25" s="385">
        <v>43617</v>
      </c>
      <c r="U25" s="386" t="s">
        <v>274</v>
      </c>
      <c r="V25" s="406"/>
      <c r="W25" s="313"/>
      <c r="X25" s="313"/>
      <c r="Y25" s="314"/>
      <c r="Z25" s="306"/>
      <c r="AA25" s="315"/>
      <c r="AB25" s="316"/>
      <c r="AC25" s="316"/>
      <c r="AD25" s="316"/>
      <c r="AE25" s="316"/>
      <c r="AF25" s="316"/>
      <c r="AG25" s="317"/>
      <c r="AH25" s="317"/>
      <c r="AI25" s="317"/>
      <c r="AJ25" s="317"/>
      <c r="AK25" s="317"/>
      <c r="AL25" s="318"/>
      <c r="AM25" s="306"/>
      <c r="AN25" s="306"/>
      <c r="AO25" s="308"/>
      <c r="AP25" s="308"/>
      <c r="AQ25" s="308"/>
      <c r="AR25" s="308"/>
      <c r="AS25" s="308"/>
      <c r="AT25" s="308"/>
      <c r="AU25" s="308"/>
      <c r="AV25" s="308"/>
      <c r="AW25" s="308"/>
      <c r="AX25" s="308"/>
      <c r="AY25" s="308"/>
      <c r="AZ25" s="308"/>
      <c r="BA25" s="308"/>
      <c r="BB25" s="308"/>
      <c r="BC25" s="308"/>
      <c r="BD25" s="308"/>
      <c r="BE25" s="308"/>
      <c r="BF25" s="308"/>
      <c r="BG25" s="308"/>
      <c r="BH25" s="308"/>
      <c r="BI25" s="308"/>
      <c r="BJ25" s="308"/>
      <c r="BK25" s="308"/>
      <c r="BL25" s="308"/>
      <c r="BM25" s="308"/>
      <c r="BN25" s="308"/>
      <c r="BO25" s="308"/>
      <c r="BP25" s="308"/>
      <c r="BQ25" s="308"/>
      <c r="BR25" s="308"/>
      <c r="BS25" s="308"/>
      <c r="BT25" s="308"/>
      <c r="BU25" s="308"/>
      <c r="BV25" s="308"/>
      <c r="BW25" s="308"/>
      <c r="BX25" s="308"/>
      <c r="BY25" s="308"/>
      <c r="BZ25" s="308"/>
      <c r="CA25" s="308"/>
      <c r="CB25" s="308"/>
      <c r="CC25" s="308"/>
      <c r="CD25" s="308"/>
      <c r="CE25" s="308"/>
      <c r="CF25" s="308"/>
      <c r="CG25" s="308"/>
      <c r="CH25" s="308"/>
      <c r="CI25" s="308"/>
      <c r="CJ25" s="308"/>
      <c r="CK25" s="308"/>
      <c r="CL25" s="308"/>
      <c r="CM25" s="308"/>
      <c r="CN25" s="308"/>
      <c r="CO25" s="308"/>
      <c r="CP25" s="308"/>
      <c r="CQ25" s="308"/>
      <c r="CR25" s="308"/>
      <c r="CS25" s="308"/>
      <c r="CT25" s="308"/>
      <c r="CU25" s="308"/>
      <c r="CV25" s="308"/>
      <c r="CW25" s="308"/>
      <c r="CX25" s="308"/>
      <c r="CY25" s="308"/>
      <c r="CZ25" s="308"/>
      <c r="DA25" s="308"/>
      <c r="DB25" s="308"/>
      <c r="DC25" s="308"/>
      <c r="DD25" s="308"/>
      <c r="DE25" s="308"/>
      <c r="DF25" s="308"/>
      <c r="DG25" s="308"/>
      <c r="DH25" s="308"/>
      <c r="DI25" s="308"/>
      <c r="DJ25" s="308"/>
      <c r="DK25" s="308"/>
      <c r="DL25" s="308"/>
      <c r="DM25" s="308"/>
      <c r="DN25" s="308"/>
      <c r="DO25" s="308"/>
      <c r="DP25" s="308"/>
      <c r="DQ25" s="308"/>
      <c r="DR25" s="308"/>
      <c r="DS25" s="308"/>
      <c r="DT25" s="308"/>
      <c r="DU25" s="308"/>
    </row>
    <row r="26" spans="1:125" s="2" customFormat="1" ht="65.25" customHeight="1" x14ac:dyDescent="0.25">
      <c r="A26" s="325"/>
      <c r="B26" s="376"/>
      <c r="C26" s="408" t="s">
        <v>249</v>
      </c>
      <c r="D26" s="405" t="s">
        <v>244</v>
      </c>
      <c r="E26" s="417">
        <v>36000</v>
      </c>
      <c r="F26" s="433">
        <f t="shared" si="1"/>
        <v>36000</v>
      </c>
      <c r="G26" s="379"/>
      <c r="H26" s="380">
        <f t="shared" si="2"/>
        <v>4320</v>
      </c>
      <c r="I26" s="380"/>
      <c r="J26" s="379"/>
      <c r="K26" s="438" t="s">
        <v>271</v>
      </c>
      <c r="L26" s="379" t="s">
        <v>275</v>
      </c>
      <c r="M26" s="380"/>
      <c r="N26" s="380" t="s">
        <v>233</v>
      </c>
      <c r="O26" s="382"/>
      <c r="P26" s="383"/>
      <c r="Q26" s="383"/>
      <c r="R26" s="384"/>
      <c r="S26" s="385">
        <v>43862</v>
      </c>
      <c r="T26" s="385">
        <v>44013</v>
      </c>
      <c r="U26" s="386" t="s">
        <v>274</v>
      </c>
      <c r="V26" s="406"/>
      <c r="W26" s="313"/>
      <c r="X26" s="313"/>
      <c r="Y26" s="314"/>
      <c r="Z26" s="306"/>
      <c r="AA26" s="315"/>
      <c r="AB26" s="316"/>
      <c r="AC26" s="316"/>
      <c r="AD26" s="316"/>
      <c r="AE26" s="316"/>
      <c r="AF26" s="316"/>
      <c r="AG26" s="317"/>
      <c r="AH26" s="317"/>
      <c r="AI26" s="317"/>
      <c r="AJ26" s="317"/>
      <c r="AK26" s="317"/>
      <c r="AL26" s="318"/>
      <c r="AM26" s="306"/>
      <c r="AN26" s="306"/>
      <c r="AO26" s="308"/>
      <c r="AP26" s="308"/>
      <c r="AQ26" s="308"/>
      <c r="AR26" s="308"/>
      <c r="AS26" s="308"/>
      <c r="AT26" s="308"/>
      <c r="AU26" s="308"/>
      <c r="AV26" s="308"/>
      <c r="AW26" s="308"/>
      <c r="AX26" s="308"/>
      <c r="AY26" s="308"/>
      <c r="AZ26" s="308"/>
      <c r="BA26" s="308"/>
      <c r="BB26" s="308"/>
      <c r="BC26" s="308"/>
      <c r="BD26" s="308"/>
      <c r="BE26" s="308"/>
      <c r="BF26" s="308"/>
      <c r="BG26" s="308"/>
      <c r="BH26" s="308"/>
      <c r="BI26" s="308"/>
      <c r="BJ26" s="308"/>
      <c r="BK26" s="308"/>
      <c r="BL26" s="308"/>
      <c r="BM26" s="308"/>
      <c r="BN26" s="308"/>
      <c r="BO26" s="308"/>
      <c r="BP26" s="308"/>
      <c r="BQ26" s="308"/>
      <c r="BR26" s="308"/>
      <c r="BS26" s="308"/>
      <c r="BT26" s="308"/>
      <c r="BU26" s="308"/>
      <c r="BV26" s="308"/>
      <c r="BW26" s="308"/>
      <c r="BX26" s="308"/>
      <c r="BY26" s="308"/>
      <c r="BZ26" s="308"/>
      <c r="CA26" s="308"/>
      <c r="CB26" s="308"/>
      <c r="CC26" s="308"/>
      <c r="CD26" s="308"/>
      <c r="CE26" s="308"/>
      <c r="CF26" s="308"/>
      <c r="CG26" s="308"/>
      <c r="CH26" s="308"/>
      <c r="CI26" s="308"/>
      <c r="CJ26" s="308"/>
      <c r="CK26" s="308"/>
      <c r="CL26" s="308"/>
      <c r="CM26" s="308"/>
      <c r="CN26" s="308"/>
      <c r="CO26" s="308"/>
      <c r="CP26" s="308"/>
      <c r="CQ26" s="308"/>
      <c r="CR26" s="308"/>
      <c r="CS26" s="308"/>
      <c r="CT26" s="308"/>
      <c r="CU26" s="308"/>
      <c r="CV26" s="308"/>
      <c r="CW26" s="308"/>
      <c r="CX26" s="308"/>
      <c r="CY26" s="308"/>
      <c r="CZ26" s="308"/>
      <c r="DA26" s="308"/>
      <c r="DB26" s="308"/>
      <c r="DC26" s="308"/>
      <c r="DD26" s="308"/>
      <c r="DE26" s="308"/>
      <c r="DF26" s="308"/>
      <c r="DG26" s="308"/>
      <c r="DH26" s="308"/>
      <c r="DI26" s="308"/>
      <c r="DJ26" s="308"/>
      <c r="DK26" s="308"/>
      <c r="DL26" s="308"/>
      <c r="DM26" s="308"/>
      <c r="DN26" s="308"/>
      <c r="DO26" s="308"/>
      <c r="DP26" s="308"/>
      <c r="DQ26" s="308"/>
      <c r="DR26" s="308"/>
      <c r="DS26" s="308"/>
      <c r="DT26" s="308"/>
      <c r="DU26" s="308"/>
    </row>
    <row r="27" spans="1:125" s="2" customFormat="1" ht="65.25" customHeight="1" x14ac:dyDescent="0.25">
      <c r="A27" s="325"/>
      <c r="B27" s="376"/>
      <c r="C27" s="408" t="s">
        <v>249</v>
      </c>
      <c r="D27" s="420" t="s">
        <v>245</v>
      </c>
      <c r="E27" s="417">
        <v>13080</v>
      </c>
      <c r="F27" s="433">
        <f t="shared" si="1"/>
        <v>13080</v>
      </c>
      <c r="G27" s="379"/>
      <c r="H27" s="380">
        <f t="shared" si="2"/>
        <v>1569.6</v>
      </c>
      <c r="I27" s="380"/>
      <c r="J27" s="379"/>
      <c r="K27" s="438" t="s">
        <v>271</v>
      </c>
      <c r="L27" s="379" t="s">
        <v>272</v>
      </c>
      <c r="M27" s="380"/>
      <c r="N27" s="380" t="s">
        <v>241</v>
      </c>
      <c r="O27" s="382"/>
      <c r="P27" s="383"/>
      <c r="Q27" s="383"/>
      <c r="R27" s="384"/>
      <c r="S27" s="385" t="s">
        <v>273</v>
      </c>
      <c r="T27" s="385">
        <v>44531</v>
      </c>
      <c r="U27" s="386" t="s">
        <v>274</v>
      </c>
      <c r="V27" s="406"/>
      <c r="W27" s="313"/>
      <c r="X27" s="313"/>
      <c r="Y27" s="314"/>
      <c r="Z27" s="306"/>
      <c r="AA27" s="315"/>
      <c r="AB27" s="316"/>
      <c r="AC27" s="316"/>
      <c r="AD27" s="316"/>
      <c r="AE27" s="316"/>
      <c r="AF27" s="316"/>
      <c r="AG27" s="317"/>
      <c r="AH27" s="317"/>
      <c r="AI27" s="317"/>
      <c r="AJ27" s="317"/>
      <c r="AK27" s="317"/>
      <c r="AL27" s="318"/>
      <c r="AM27" s="306"/>
      <c r="AN27" s="306"/>
      <c r="AO27" s="308"/>
      <c r="AP27" s="308"/>
      <c r="AQ27" s="308"/>
      <c r="AR27" s="308"/>
      <c r="AS27" s="308"/>
      <c r="AT27" s="308"/>
      <c r="AU27" s="308"/>
      <c r="AV27" s="308"/>
      <c r="AW27" s="308"/>
      <c r="AX27" s="308"/>
      <c r="AY27" s="308"/>
      <c r="AZ27" s="308"/>
      <c r="BA27" s="308"/>
      <c r="BB27" s="308"/>
      <c r="BC27" s="308"/>
      <c r="BD27" s="308"/>
      <c r="BE27" s="308"/>
      <c r="BF27" s="308"/>
      <c r="BG27" s="308"/>
      <c r="BH27" s="308"/>
      <c r="BI27" s="308"/>
      <c r="BJ27" s="308"/>
      <c r="BK27" s="308"/>
      <c r="BL27" s="308"/>
      <c r="BM27" s="308"/>
      <c r="BN27" s="308"/>
      <c r="BO27" s="308"/>
      <c r="BP27" s="308"/>
      <c r="BQ27" s="308"/>
      <c r="BR27" s="308"/>
      <c r="BS27" s="308"/>
      <c r="BT27" s="308"/>
      <c r="BU27" s="308"/>
      <c r="BV27" s="308"/>
      <c r="BW27" s="308"/>
      <c r="BX27" s="308"/>
      <c r="BY27" s="308"/>
      <c r="BZ27" s="308"/>
      <c r="CA27" s="308"/>
      <c r="CB27" s="308"/>
      <c r="CC27" s="308"/>
      <c r="CD27" s="308"/>
      <c r="CE27" s="308"/>
      <c r="CF27" s="308"/>
      <c r="CG27" s="308"/>
      <c r="CH27" s="308"/>
      <c r="CI27" s="308"/>
      <c r="CJ27" s="308"/>
      <c r="CK27" s="308"/>
      <c r="CL27" s="308"/>
      <c r="CM27" s="308"/>
      <c r="CN27" s="308"/>
      <c r="CO27" s="308"/>
      <c r="CP27" s="308"/>
      <c r="CQ27" s="308"/>
      <c r="CR27" s="308"/>
      <c r="CS27" s="308"/>
      <c r="CT27" s="308"/>
      <c r="CU27" s="308"/>
      <c r="CV27" s="308"/>
      <c r="CW27" s="308"/>
      <c r="CX27" s="308"/>
      <c r="CY27" s="308"/>
      <c r="CZ27" s="308"/>
      <c r="DA27" s="308"/>
      <c r="DB27" s="308"/>
      <c r="DC27" s="308"/>
      <c r="DD27" s="308"/>
      <c r="DE27" s="308"/>
      <c r="DF27" s="308"/>
      <c r="DG27" s="308"/>
      <c r="DH27" s="308"/>
      <c r="DI27" s="308"/>
      <c r="DJ27" s="308"/>
      <c r="DK27" s="308"/>
      <c r="DL27" s="308"/>
      <c r="DM27" s="308"/>
      <c r="DN27" s="308"/>
      <c r="DO27" s="308"/>
      <c r="DP27" s="308"/>
      <c r="DQ27" s="308"/>
      <c r="DR27" s="308"/>
      <c r="DS27" s="308"/>
      <c r="DT27" s="308"/>
      <c r="DU27" s="308"/>
    </row>
    <row r="28" spans="1:125" s="2" customFormat="1" ht="65.25" customHeight="1" x14ac:dyDescent="0.25">
      <c r="A28" s="325"/>
      <c r="B28" s="376"/>
      <c r="C28" s="408" t="s">
        <v>249</v>
      </c>
      <c r="D28" s="405" t="s">
        <v>246</v>
      </c>
      <c r="E28" s="417">
        <v>5490</v>
      </c>
      <c r="F28" s="433">
        <f t="shared" si="1"/>
        <v>5490</v>
      </c>
      <c r="G28" s="379"/>
      <c r="H28" s="380">
        <f t="shared" si="2"/>
        <v>658.8</v>
      </c>
      <c r="I28" s="380"/>
      <c r="J28" s="379"/>
      <c r="K28" s="438" t="s">
        <v>271</v>
      </c>
      <c r="L28" s="379" t="s">
        <v>272</v>
      </c>
      <c r="M28" s="380"/>
      <c r="N28" s="380" t="s">
        <v>241</v>
      </c>
      <c r="O28" s="382"/>
      <c r="P28" s="383"/>
      <c r="Q28" s="383"/>
      <c r="R28" s="384"/>
      <c r="S28" s="385" t="s">
        <v>273</v>
      </c>
      <c r="T28" s="385">
        <v>43586</v>
      </c>
      <c r="U28" s="386" t="s">
        <v>274</v>
      </c>
      <c r="V28" s="406"/>
      <c r="W28" s="313"/>
      <c r="X28" s="313"/>
      <c r="Y28" s="314"/>
      <c r="Z28" s="306"/>
      <c r="AA28" s="315"/>
      <c r="AB28" s="316"/>
      <c r="AC28" s="316"/>
      <c r="AD28" s="316"/>
      <c r="AE28" s="316"/>
      <c r="AF28" s="316"/>
      <c r="AG28" s="317"/>
      <c r="AH28" s="317"/>
      <c r="AI28" s="317"/>
      <c r="AJ28" s="317"/>
      <c r="AK28" s="317"/>
      <c r="AL28" s="318"/>
      <c r="AM28" s="306"/>
      <c r="AN28" s="306"/>
      <c r="AO28" s="308"/>
      <c r="AP28" s="308"/>
      <c r="AQ28" s="308"/>
      <c r="AR28" s="308"/>
      <c r="AS28" s="308"/>
      <c r="AT28" s="308"/>
      <c r="AU28" s="308"/>
      <c r="AV28" s="308"/>
      <c r="AW28" s="308"/>
      <c r="AX28" s="308"/>
      <c r="AY28" s="308"/>
      <c r="AZ28" s="308"/>
      <c r="BA28" s="308"/>
      <c r="BB28" s="308"/>
      <c r="BC28" s="308"/>
      <c r="BD28" s="308"/>
      <c r="BE28" s="308"/>
      <c r="BF28" s="308"/>
      <c r="BG28" s="308"/>
      <c r="BH28" s="308"/>
      <c r="BI28" s="308"/>
      <c r="BJ28" s="308"/>
      <c r="BK28" s="308"/>
      <c r="BL28" s="308"/>
      <c r="BM28" s="308"/>
      <c r="BN28" s="308"/>
      <c r="BO28" s="308"/>
      <c r="BP28" s="308"/>
      <c r="BQ28" s="308"/>
      <c r="BR28" s="308"/>
      <c r="BS28" s="308"/>
      <c r="BT28" s="308"/>
      <c r="BU28" s="308"/>
      <c r="BV28" s="308"/>
      <c r="BW28" s="308"/>
      <c r="BX28" s="308"/>
      <c r="BY28" s="308"/>
      <c r="BZ28" s="308"/>
      <c r="CA28" s="308"/>
      <c r="CB28" s="308"/>
      <c r="CC28" s="308"/>
      <c r="CD28" s="308"/>
      <c r="CE28" s="308"/>
      <c r="CF28" s="308"/>
      <c r="CG28" s="308"/>
      <c r="CH28" s="308"/>
      <c r="CI28" s="308"/>
      <c r="CJ28" s="308"/>
      <c r="CK28" s="308"/>
      <c r="CL28" s="308"/>
      <c r="CM28" s="308"/>
      <c r="CN28" s="308"/>
      <c r="CO28" s="308"/>
      <c r="CP28" s="308"/>
      <c r="CQ28" s="308"/>
      <c r="CR28" s="308"/>
      <c r="CS28" s="308"/>
      <c r="CT28" s="308"/>
      <c r="CU28" s="308"/>
      <c r="CV28" s="308"/>
      <c r="CW28" s="308"/>
      <c r="CX28" s="308"/>
      <c r="CY28" s="308"/>
      <c r="CZ28" s="308"/>
      <c r="DA28" s="308"/>
      <c r="DB28" s="308"/>
      <c r="DC28" s="308"/>
      <c r="DD28" s="308"/>
      <c r="DE28" s="308"/>
      <c r="DF28" s="308"/>
      <c r="DG28" s="308"/>
      <c r="DH28" s="308"/>
      <c r="DI28" s="308"/>
      <c r="DJ28" s="308"/>
      <c r="DK28" s="308"/>
      <c r="DL28" s="308"/>
      <c r="DM28" s="308"/>
      <c r="DN28" s="308"/>
      <c r="DO28" s="308"/>
      <c r="DP28" s="308"/>
      <c r="DQ28" s="308"/>
      <c r="DR28" s="308"/>
      <c r="DS28" s="308"/>
      <c r="DT28" s="308"/>
      <c r="DU28" s="308"/>
    </row>
    <row r="29" spans="1:125" s="2" customFormat="1" ht="65.25" customHeight="1" x14ac:dyDescent="0.25">
      <c r="A29" s="325"/>
      <c r="B29" s="376"/>
      <c r="C29" s="408"/>
      <c r="D29" s="405" t="s">
        <v>252</v>
      </c>
      <c r="E29" s="417">
        <v>14120</v>
      </c>
      <c r="F29" s="433">
        <f t="shared" si="1"/>
        <v>14120</v>
      </c>
      <c r="G29" s="379"/>
      <c r="H29" s="380">
        <f t="shared" si="2"/>
        <v>1694.3999999999999</v>
      </c>
      <c r="I29" s="380"/>
      <c r="J29" s="379"/>
      <c r="K29" s="438" t="s">
        <v>276</v>
      </c>
      <c r="L29" s="379" t="s">
        <v>272</v>
      </c>
      <c r="M29" s="380"/>
      <c r="N29" s="380" t="s">
        <v>241</v>
      </c>
      <c r="O29" s="382"/>
      <c r="P29" s="383"/>
      <c r="Q29" s="383"/>
      <c r="R29" s="384"/>
      <c r="S29" s="385" t="s">
        <v>273</v>
      </c>
      <c r="T29" s="385">
        <v>43862</v>
      </c>
      <c r="U29" s="386" t="s">
        <v>277</v>
      </c>
      <c r="V29" s="406"/>
      <c r="W29" s="313"/>
      <c r="X29" s="313"/>
      <c r="Y29" s="314"/>
      <c r="Z29" s="306"/>
      <c r="AA29" s="315"/>
      <c r="AB29" s="316"/>
      <c r="AC29" s="316"/>
      <c r="AD29" s="316"/>
      <c r="AE29" s="316"/>
      <c r="AF29" s="316"/>
      <c r="AG29" s="317"/>
      <c r="AH29" s="317"/>
      <c r="AI29" s="317"/>
      <c r="AJ29" s="317"/>
      <c r="AK29" s="317"/>
      <c r="AL29" s="318"/>
      <c r="AM29" s="306"/>
      <c r="AN29" s="306"/>
      <c r="AO29" s="308"/>
      <c r="AP29" s="308"/>
      <c r="AQ29" s="308"/>
      <c r="AR29" s="308"/>
      <c r="AS29" s="308"/>
      <c r="AT29" s="308"/>
      <c r="AU29" s="308"/>
      <c r="AV29" s="308"/>
      <c r="AW29" s="308"/>
      <c r="AX29" s="308"/>
      <c r="AY29" s="308"/>
      <c r="AZ29" s="308"/>
      <c r="BA29" s="308"/>
      <c r="BB29" s="308"/>
      <c r="BC29" s="308"/>
      <c r="BD29" s="308"/>
      <c r="BE29" s="308"/>
      <c r="BF29" s="308"/>
      <c r="BG29" s="308"/>
      <c r="BH29" s="308"/>
      <c r="BI29" s="308"/>
      <c r="BJ29" s="308"/>
      <c r="BK29" s="308"/>
      <c r="BL29" s="308"/>
      <c r="BM29" s="308"/>
      <c r="BN29" s="308"/>
      <c r="BO29" s="308"/>
      <c r="BP29" s="308"/>
      <c r="BQ29" s="308"/>
      <c r="BR29" s="308"/>
      <c r="BS29" s="308"/>
      <c r="BT29" s="308"/>
      <c r="BU29" s="308"/>
      <c r="BV29" s="308"/>
      <c r="BW29" s="308"/>
      <c r="BX29" s="308"/>
      <c r="BY29" s="308"/>
      <c r="BZ29" s="308"/>
      <c r="CA29" s="308"/>
      <c r="CB29" s="308"/>
      <c r="CC29" s="308"/>
      <c r="CD29" s="308"/>
      <c r="CE29" s="308"/>
      <c r="CF29" s="308"/>
      <c r="CG29" s="308"/>
      <c r="CH29" s="308"/>
      <c r="CI29" s="308"/>
      <c r="CJ29" s="308"/>
      <c r="CK29" s="308"/>
      <c r="CL29" s="308"/>
      <c r="CM29" s="308"/>
      <c r="CN29" s="308"/>
      <c r="CO29" s="308"/>
      <c r="CP29" s="308"/>
      <c r="CQ29" s="308"/>
      <c r="CR29" s="308"/>
      <c r="CS29" s="308"/>
      <c r="CT29" s="308"/>
      <c r="CU29" s="308"/>
      <c r="CV29" s="308"/>
      <c r="CW29" s="308"/>
      <c r="CX29" s="308"/>
      <c r="CY29" s="308"/>
      <c r="CZ29" s="308"/>
      <c r="DA29" s="308"/>
      <c r="DB29" s="308"/>
      <c r="DC29" s="308"/>
      <c r="DD29" s="308"/>
      <c r="DE29" s="308"/>
      <c r="DF29" s="308"/>
      <c r="DG29" s="308"/>
      <c r="DH29" s="308"/>
      <c r="DI29" s="308"/>
      <c r="DJ29" s="308"/>
      <c r="DK29" s="308"/>
      <c r="DL29" s="308"/>
      <c r="DM29" s="308"/>
      <c r="DN29" s="308"/>
      <c r="DO29" s="308"/>
      <c r="DP29" s="308"/>
      <c r="DQ29" s="308"/>
      <c r="DR29" s="308"/>
      <c r="DS29" s="308"/>
      <c r="DT29" s="308"/>
      <c r="DU29" s="308"/>
    </row>
    <row r="30" spans="1:125" s="2" customFormat="1" ht="65.25" customHeight="1" x14ac:dyDescent="0.25">
      <c r="A30" s="325"/>
      <c r="B30" s="376"/>
      <c r="C30" s="408" t="s">
        <v>247</v>
      </c>
      <c r="D30" s="405" t="s">
        <v>251</v>
      </c>
      <c r="E30" s="417">
        <v>14500</v>
      </c>
      <c r="F30" s="433">
        <v>14500</v>
      </c>
      <c r="G30" s="379"/>
      <c r="H30" s="380">
        <f t="shared" si="2"/>
        <v>1740</v>
      </c>
      <c r="I30" s="380"/>
      <c r="J30" s="379"/>
      <c r="K30" s="438" t="s">
        <v>276</v>
      </c>
      <c r="L30" s="379" t="s">
        <v>272</v>
      </c>
      <c r="M30" s="380"/>
      <c r="N30" s="380" t="s">
        <v>241</v>
      </c>
      <c r="O30" s="382"/>
      <c r="P30" s="383"/>
      <c r="Q30" s="383"/>
      <c r="R30" s="384"/>
      <c r="S30" s="385" t="s">
        <v>273</v>
      </c>
      <c r="T30" s="385">
        <v>43862</v>
      </c>
      <c r="U30" s="386" t="s">
        <v>277</v>
      </c>
      <c r="V30" s="406"/>
      <c r="W30" s="313"/>
      <c r="X30" s="313"/>
      <c r="Y30" s="314"/>
      <c r="Z30" s="306"/>
      <c r="AA30" s="315"/>
      <c r="AB30" s="316"/>
      <c r="AC30" s="316"/>
      <c r="AD30" s="316"/>
      <c r="AE30" s="316"/>
      <c r="AF30" s="316"/>
      <c r="AG30" s="317"/>
      <c r="AH30" s="317"/>
      <c r="AI30" s="317"/>
      <c r="AJ30" s="317"/>
      <c r="AK30" s="317"/>
      <c r="AL30" s="318"/>
      <c r="AM30" s="306"/>
      <c r="AN30" s="306"/>
      <c r="AO30" s="308"/>
      <c r="AP30" s="308"/>
      <c r="AQ30" s="308"/>
      <c r="AR30" s="308"/>
      <c r="AS30" s="308"/>
      <c r="AT30" s="308"/>
      <c r="AU30" s="308"/>
      <c r="AV30" s="308"/>
      <c r="AW30" s="308"/>
      <c r="AX30" s="308"/>
      <c r="AY30" s="308"/>
      <c r="AZ30" s="308"/>
      <c r="BA30" s="308"/>
      <c r="BB30" s="308"/>
      <c r="BC30" s="308"/>
      <c r="BD30" s="308"/>
      <c r="BE30" s="308"/>
      <c r="BF30" s="308"/>
      <c r="BG30" s="308"/>
      <c r="BH30" s="308"/>
      <c r="BI30" s="308"/>
      <c r="BJ30" s="308"/>
      <c r="BK30" s="308"/>
      <c r="BL30" s="308"/>
      <c r="BM30" s="308"/>
      <c r="BN30" s="308"/>
      <c r="BO30" s="308"/>
      <c r="BP30" s="308"/>
      <c r="BQ30" s="308"/>
      <c r="BR30" s="308"/>
      <c r="BS30" s="308"/>
      <c r="BT30" s="308"/>
      <c r="BU30" s="308"/>
      <c r="BV30" s="308"/>
      <c r="BW30" s="308"/>
      <c r="BX30" s="308"/>
      <c r="BY30" s="308"/>
      <c r="BZ30" s="308"/>
      <c r="CA30" s="308"/>
      <c r="CB30" s="308"/>
      <c r="CC30" s="308"/>
      <c r="CD30" s="308"/>
      <c r="CE30" s="308"/>
      <c r="CF30" s="308"/>
      <c r="CG30" s="308"/>
      <c r="CH30" s="308"/>
      <c r="CI30" s="308"/>
      <c r="CJ30" s="308"/>
      <c r="CK30" s="308"/>
      <c r="CL30" s="308"/>
      <c r="CM30" s="308"/>
      <c r="CN30" s="308"/>
      <c r="CO30" s="308"/>
      <c r="CP30" s="308"/>
      <c r="CQ30" s="308"/>
      <c r="CR30" s="308"/>
      <c r="CS30" s="308"/>
      <c r="CT30" s="308"/>
      <c r="CU30" s="308"/>
      <c r="CV30" s="308"/>
      <c r="CW30" s="308"/>
      <c r="CX30" s="308"/>
      <c r="CY30" s="308"/>
      <c r="CZ30" s="308"/>
      <c r="DA30" s="308"/>
      <c r="DB30" s="308"/>
      <c r="DC30" s="308"/>
      <c r="DD30" s="308"/>
      <c r="DE30" s="308"/>
      <c r="DF30" s="308"/>
      <c r="DG30" s="308"/>
      <c r="DH30" s="308"/>
      <c r="DI30" s="308"/>
      <c r="DJ30" s="308"/>
      <c r="DK30" s="308"/>
      <c r="DL30" s="308"/>
      <c r="DM30" s="308"/>
      <c r="DN30" s="308"/>
      <c r="DO30" s="308"/>
      <c r="DP30" s="308"/>
      <c r="DQ30" s="308"/>
      <c r="DR30" s="308"/>
      <c r="DS30" s="308"/>
      <c r="DT30" s="308"/>
      <c r="DU30" s="308"/>
    </row>
    <row r="31" spans="1:125" s="2" customFormat="1" ht="65.25" customHeight="1" x14ac:dyDescent="0.25">
      <c r="A31" s="325"/>
      <c r="B31" s="376"/>
      <c r="C31" s="408" t="s">
        <v>248</v>
      </c>
      <c r="D31" s="405" t="s">
        <v>254</v>
      </c>
      <c r="E31" s="417">
        <v>10000</v>
      </c>
      <c r="F31" s="433">
        <f t="shared" ref="F31:F37" si="4">+E31</f>
        <v>10000</v>
      </c>
      <c r="G31" s="379"/>
      <c r="H31" s="380">
        <f t="shared" si="2"/>
        <v>1200</v>
      </c>
      <c r="I31" s="380"/>
      <c r="J31" s="379"/>
      <c r="K31" s="438" t="s">
        <v>276</v>
      </c>
      <c r="L31" s="379" t="s">
        <v>272</v>
      </c>
      <c r="M31" s="380"/>
      <c r="N31" s="380" t="s">
        <v>241</v>
      </c>
      <c r="O31" s="382"/>
      <c r="P31" s="383"/>
      <c r="Q31" s="383"/>
      <c r="R31" s="384"/>
      <c r="S31" s="385" t="s">
        <v>273</v>
      </c>
      <c r="T31" s="385">
        <v>43556</v>
      </c>
      <c r="U31" s="386"/>
      <c r="V31" s="406"/>
      <c r="W31" s="313"/>
      <c r="X31" s="313"/>
      <c r="Y31" s="314"/>
      <c r="Z31" s="306"/>
      <c r="AA31" s="315"/>
      <c r="AB31" s="316"/>
      <c r="AC31" s="316"/>
      <c r="AD31" s="316"/>
      <c r="AE31" s="316"/>
      <c r="AF31" s="316"/>
      <c r="AG31" s="317"/>
      <c r="AH31" s="317"/>
      <c r="AI31" s="317"/>
      <c r="AJ31" s="317"/>
      <c r="AK31" s="317"/>
      <c r="AL31" s="318"/>
      <c r="AM31" s="306"/>
      <c r="AN31" s="306"/>
      <c r="AO31" s="308"/>
      <c r="AP31" s="308"/>
      <c r="AQ31" s="308"/>
      <c r="AR31" s="308"/>
      <c r="AS31" s="308"/>
      <c r="AT31" s="308"/>
      <c r="AU31" s="308"/>
      <c r="AV31" s="308"/>
      <c r="AW31" s="308"/>
      <c r="AX31" s="308"/>
      <c r="AY31" s="308"/>
      <c r="AZ31" s="308"/>
      <c r="BA31" s="308"/>
      <c r="BB31" s="308"/>
      <c r="BC31" s="308"/>
      <c r="BD31" s="308"/>
      <c r="BE31" s="308"/>
      <c r="BF31" s="308"/>
      <c r="BG31" s="308"/>
      <c r="BH31" s="308"/>
      <c r="BI31" s="308"/>
      <c r="BJ31" s="308"/>
      <c r="BK31" s="308"/>
      <c r="BL31" s="308"/>
      <c r="BM31" s="308"/>
      <c r="BN31" s="308"/>
      <c r="BO31" s="308"/>
      <c r="BP31" s="308"/>
      <c r="BQ31" s="308"/>
      <c r="BR31" s="308"/>
      <c r="BS31" s="308"/>
      <c r="BT31" s="308"/>
      <c r="BU31" s="308"/>
      <c r="BV31" s="308"/>
      <c r="BW31" s="308"/>
      <c r="BX31" s="308"/>
      <c r="BY31" s="308"/>
      <c r="BZ31" s="308"/>
      <c r="CA31" s="308"/>
      <c r="CB31" s="308"/>
      <c r="CC31" s="308"/>
      <c r="CD31" s="308"/>
      <c r="CE31" s="308"/>
      <c r="CF31" s="308"/>
      <c r="CG31" s="308"/>
      <c r="CH31" s="308"/>
      <c r="CI31" s="308"/>
      <c r="CJ31" s="308"/>
      <c r="CK31" s="308"/>
      <c r="CL31" s="308"/>
      <c r="CM31" s="308"/>
      <c r="CN31" s="308"/>
      <c r="CO31" s="308"/>
      <c r="CP31" s="308"/>
      <c r="CQ31" s="308"/>
      <c r="CR31" s="308"/>
      <c r="CS31" s="308"/>
      <c r="CT31" s="308"/>
      <c r="CU31" s="308"/>
      <c r="CV31" s="308"/>
      <c r="CW31" s="308"/>
      <c r="CX31" s="308"/>
      <c r="CY31" s="308"/>
      <c r="CZ31" s="308"/>
      <c r="DA31" s="308"/>
      <c r="DB31" s="308"/>
      <c r="DC31" s="308"/>
      <c r="DD31" s="308"/>
      <c r="DE31" s="308"/>
      <c r="DF31" s="308"/>
      <c r="DG31" s="308"/>
      <c r="DH31" s="308"/>
      <c r="DI31" s="308"/>
      <c r="DJ31" s="308"/>
      <c r="DK31" s="308"/>
      <c r="DL31" s="308"/>
      <c r="DM31" s="308"/>
      <c r="DN31" s="308"/>
      <c r="DO31" s="308"/>
      <c r="DP31" s="308"/>
      <c r="DQ31" s="308"/>
      <c r="DR31" s="308"/>
      <c r="DS31" s="308"/>
      <c r="DT31" s="308"/>
      <c r="DU31" s="308"/>
    </row>
    <row r="32" spans="1:125" s="2" customFormat="1" ht="65.25" customHeight="1" x14ac:dyDescent="0.25">
      <c r="A32" s="325"/>
      <c r="B32" s="376"/>
      <c r="C32" s="408"/>
      <c r="D32" s="405" t="s">
        <v>255</v>
      </c>
      <c r="E32" s="417">
        <v>6000</v>
      </c>
      <c r="F32" s="433">
        <f t="shared" si="4"/>
        <v>6000</v>
      </c>
      <c r="G32" s="379"/>
      <c r="H32" s="380">
        <f t="shared" si="2"/>
        <v>720</v>
      </c>
      <c r="I32" s="380"/>
      <c r="J32" s="379"/>
      <c r="K32" s="438" t="s">
        <v>276</v>
      </c>
      <c r="L32" s="379" t="s">
        <v>272</v>
      </c>
      <c r="M32" s="380"/>
      <c r="N32" s="380" t="s">
        <v>241</v>
      </c>
      <c r="O32" s="382"/>
      <c r="P32" s="383"/>
      <c r="Q32" s="383"/>
      <c r="R32" s="384"/>
      <c r="S32" s="385" t="s">
        <v>273</v>
      </c>
      <c r="T32" s="385">
        <v>43617</v>
      </c>
      <c r="U32" s="386"/>
      <c r="V32" s="406"/>
      <c r="W32" s="313"/>
      <c r="X32" s="313"/>
      <c r="Y32" s="314"/>
      <c r="Z32" s="306"/>
      <c r="AA32" s="315"/>
      <c r="AB32" s="316"/>
      <c r="AC32" s="316"/>
      <c r="AD32" s="316"/>
      <c r="AE32" s="316"/>
      <c r="AF32" s="316"/>
      <c r="AG32" s="317"/>
      <c r="AH32" s="317"/>
      <c r="AI32" s="317"/>
      <c r="AJ32" s="317"/>
      <c r="AK32" s="317"/>
      <c r="AL32" s="318"/>
      <c r="AM32" s="306"/>
      <c r="AN32" s="306"/>
      <c r="AO32" s="308"/>
      <c r="AP32" s="308"/>
      <c r="AQ32" s="308"/>
      <c r="AR32" s="308"/>
      <c r="AS32" s="308"/>
      <c r="AT32" s="308"/>
      <c r="AU32" s="308"/>
      <c r="AV32" s="308"/>
      <c r="AW32" s="308"/>
      <c r="AX32" s="308"/>
      <c r="AY32" s="308"/>
      <c r="AZ32" s="308"/>
      <c r="BA32" s="308"/>
      <c r="BB32" s="308"/>
      <c r="BC32" s="308"/>
      <c r="BD32" s="308"/>
      <c r="BE32" s="308"/>
      <c r="BF32" s="308"/>
      <c r="BG32" s="308"/>
      <c r="BH32" s="308"/>
      <c r="BI32" s="308"/>
      <c r="BJ32" s="308"/>
      <c r="BK32" s="308"/>
      <c r="BL32" s="308"/>
      <c r="BM32" s="308"/>
      <c r="BN32" s="308"/>
      <c r="BO32" s="308"/>
      <c r="BP32" s="308"/>
      <c r="BQ32" s="308"/>
      <c r="BR32" s="308"/>
      <c r="BS32" s="308"/>
      <c r="BT32" s="308"/>
      <c r="BU32" s="308"/>
      <c r="BV32" s="308"/>
      <c r="BW32" s="308"/>
      <c r="BX32" s="308"/>
      <c r="BY32" s="308"/>
      <c r="BZ32" s="308"/>
      <c r="CA32" s="308"/>
      <c r="CB32" s="308"/>
      <c r="CC32" s="308"/>
      <c r="CD32" s="308"/>
      <c r="CE32" s="308"/>
      <c r="CF32" s="308"/>
      <c r="CG32" s="308"/>
      <c r="CH32" s="308"/>
      <c r="CI32" s="308"/>
      <c r="CJ32" s="308"/>
      <c r="CK32" s="308"/>
      <c r="CL32" s="308"/>
      <c r="CM32" s="308"/>
      <c r="CN32" s="308"/>
      <c r="CO32" s="308"/>
      <c r="CP32" s="308"/>
      <c r="CQ32" s="308"/>
      <c r="CR32" s="308"/>
      <c r="CS32" s="308"/>
      <c r="CT32" s="308"/>
      <c r="CU32" s="308"/>
      <c r="CV32" s="308"/>
      <c r="CW32" s="308"/>
      <c r="CX32" s="308"/>
      <c r="CY32" s="308"/>
      <c r="CZ32" s="308"/>
      <c r="DA32" s="308"/>
      <c r="DB32" s="308"/>
      <c r="DC32" s="308"/>
      <c r="DD32" s="308"/>
      <c r="DE32" s="308"/>
      <c r="DF32" s="308"/>
      <c r="DG32" s="308"/>
      <c r="DH32" s="308"/>
      <c r="DI32" s="308"/>
      <c r="DJ32" s="308"/>
      <c r="DK32" s="308"/>
      <c r="DL32" s="308"/>
      <c r="DM32" s="308"/>
      <c r="DN32" s="308"/>
      <c r="DO32" s="308"/>
      <c r="DP32" s="308"/>
      <c r="DQ32" s="308"/>
      <c r="DR32" s="308"/>
      <c r="DS32" s="308"/>
      <c r="DT32" s="308"/>
      <c r="DU32" s="308"/>
    </row>
    <row r="33" spans="1:125" s="2" customFormat="1" ht="65.25" customHeight="1" x14ac:dyDescent="0.25">
      <c r="A33" s="325"/>
      <c r="B33" s="376"/>
      <c r="C33" s="408"/>
      <c r="D33" s="405" t="s">
        <v>256</v>
      </c>
      <c r="E33" s="417">
        <v>6000</v>
      </c>
      <c r="F33" s="433">
        <f t="shared" si="4"/>
        <v>6000</v>
      </c>
      <c r="G33" s="379"/>
      <c r="H33" s="380">
        <f t="shared" si="2"/>
        <v>720</v>
      </c>
      <c r="I33" s="380"/>
      <c r="J33" s="379"/>
      <c r="K33" s="438" t="s">
        <v>276</v>
      </c>
      <c r="L33" s="379" t="s">
        <v>272</v>
      </c>
      <c r="M33" s="380"/>
      <c r="N33" s="380" t="s">
        <v>241</v>
      </c>
      <c r="O33" s="382"/>
      <c r="P33" s="383"/>
      <c r="Q33" s="383"/>
      <c r="R33" s="384"/>
      <c r="S33" s="385" t="s">
        <v>273</v>
      </c>
      <c r="T33" s="385">
        <v>43617</v>
      </c>
      <c r="U33" s="386"/>
      <c r="V33" s="406"/>
      <c r="W33" s="313"/>
      <c r="X33" s="313"/>
      <c r="Y33" s="314"/>
      <c r="Z33" s="306"/>
      <c r="AA33" s="315"/>
      <c r="AB33" s="316"/>
      <c r="AC33" s="316"/>
      <c r="AD33" s="316"/>
      <c r="AE33" s="316"/>
      <c r="AF33" s="316"/>
      <c r="AG33" s="317"/>
      <c r="AH33" s="317"/>
      <c r="AI33" s="317"/>
      <c r="AJ33" s="317"/>
      <c r="AK33" s="317"/>
      <c r="AL33" s="318"/>
      <c r="AM33" s="306"/>
      <c r="AN33" s="306"/>
      <c r="AO33" s="308"/>
      <c r="AP33" s="308"/>
      <c r="AQ33" s="308"/>
      <c r="AR33" s="308"/>
      <c r="AS33" s="308"/>
      <c r="AT33" s="308"/>
      <c r="AU33" s="308"/>
      <c r="AV33" s="308"/>
      <c r="AW33" s="308"/>
      <c r="AX33" s="308"/>
      <c r="AY33" s="308"/>
      <c r="AZ33" s="308"/>
      <c r="BA33" s="308"/>
      <c r="BB33" s="308"/>
      <c r="BC33" s="308"/>
      <c r="BD33" s="308"/>
      <c r="BE33" s="308"/>
      <c r="BF33" s="308"/>
      <c r="BG33" s="308"/>
      <c r="BH33" s="308"/>
      <c r="BI33" s="308"/>
      <c r="BJ33" s="308"/>
      <c r="BK33" s="308"/>
      <c r="BL33" s="308"/>
      <c r="BM33" s="308"/>
      <c r="BN33" s="308"/>
      <c r="BO33" s="308"/>
      <c r="BP33" s="308"/>
      <c r="BQ33" s="308"/>
      <c r="BR33" s="308"/>
      <c r="BS33" s="308"/>
      <c r="BT33" s="308"/>
      <c r="BU33" s="308"/>
      <c r="BV33" s="308"/>
      <c r="BW33" s="308"/>
      <c r="BX33" s="308"/>
      <c r="BY33" s="308"/>
      <c r="BZ33" s="308"/>
      <c r="CA33" s="308"/>
      <c r="CB33" s="308"/>
      <c r="CC33" s="308"/>
      <c r="CD33" s="308"/>
      <c r="CE33" s="308"/>
      <c r="CF33" s="308"/>
      <c r="CG33" s="308"/>
      <c r="CH33" s="308"/>
      <c r="CI33" s="308"/>
      <c r="CJ33" s="308"/>
      <c r="CK33" s="308"/>
      <c r="CL33" s="308"/>
      <c r="CM33" s="308"/>
      <c r="CN33" s="308"/>
      <c r="CO33" s="308"/>
      <c r="CP33" s="308"/>
      <c r="CQ33" s="308"/>
      <c r="CR33" s="308"/>
      <c r="CS33" s="308"/>
      <c r="CT33" s="308"/>
      <c r="CU33" s="308"/>
      <c r="CV33" s="308"/>
      <c r="CW33" s="308"/>
      <c r="CX33" s="308"/>
      <c r="CY33" s="308"/>
      <c r="CZ33" s="308"/>
      <c r="DA33" s="308"/>
      <c r="DB33" s="308"/>
      <c r="DC33" s="308"/>
      <c r="DD33" s="308"/>
      <c r="DE33" s="308"/>
      <c r="DF33" s="308"/>
      <c r="DG33" s="308"/>
      <c r="DH33" s="308"/>
      <c r="DI33" s="308"/>
      <c r="DJ33" s="308"/>
      <c r="DK33" s="308"/>
      <c r="DL33" s="308"/>
      <c r="DM33" s="308"/>
      <c r="DN33" s="308"/>
      <c r="DO33" s="308"/>
      <c r="DP33" s="308"/>
      <c r="DQ33" s="308"/>
      <c r="DR33" s="308"/>
      <c r="DS33" s="308"/>
      <c r="DT33" s="308"/>
      <c r="DU33" s="308"/>
    </row>
    <row r="34" spans="1:125" s="2" customFormat="1" ht="65.25" customHeight="1" x14ac:dyDescent="0.25">
      <c r="A34" s="325"/>
      <c r="B34" s="376"/>
      <c r="C34" s="408"/>
      <c r="D34" s="405" t="s">
        <v>257</v>
      </c>
      <c r="E34" s="417">
        <v>6000</v>
      </c>
      <c r="F34" s="433">
        <f t="shared" si="4"/>
        <v>6000</v>
      </c>
      <c r="G34" s="379"/>
      <c r="H34" s="380">
        <f t="shared" si="2"/>
        <v>720</v>
      </c>
      <c r="I34" s="380"/>
      <c r="J34" s="379"/>
      <c r="K34" s="438" t="s">
        <v>276</v>
      </c>
      <c r="L34" s="379" t="s">
        <v>272</v>
      </c>
      <c r="M34" s="380"/>
      <c r="N34" s="380" t="s">
        <v>241</v>
      </c>
      <c r="O34" s="382"/>
      <c r="P34" s="383"/>
      <c r="Q34" s="383"/>
      <c r="R34" s="384"/>
      <c r="S34" s="385" t="s">
        <v>273</v>
      </c>
      <c r="T34" s="385">
        <v>43617</v>
      </c>
      <c r="U34" s="386"/>
      <c r="V34" s="406"/>
      <c r="W34" s="313"/>
      <c r="X34" s="313"/>
      <c r="Y34" s="314"/>
      <c r="Z34" s="306"/>
      <c r="AA34" s="315"/>
      <c r="AB34" s="316"/>
      <c r="AC34" s="316"/>
      <c r="AD34" s="316"/>
      <c r="AE34" s="316"/>
      <c r="AF34" s="316"/>
      <c r="AG34" s="317"/>
      <c r="AH34" s="317"/>
      <c r="AI34" s="317"/>
      <c r="AJ34" s="317"/>
      <c r="AK34" s="317"/>
      <c r="AL34" s="318"/>
      <c r="AM34" s="306"/>
      <c r="AN34" s="306"/>
      <c r="AO34" s="308"/>
      <c r="AP34" s="308"/>
      <c r="AQ34" s="308"/>
      <c r="AR34" s="308"/>
      <c r="AS34" s="308"/>
      <c r="AT34" s="308"/>
      <c r="AU34" s="308"/>
      <c r="AV34" s="308"/>
      <c r="AW34" s="308"/>
      <c r="AX34" s="308"/>
      <c r="AY34" s="308"/>
      <c r="AZ34" s="308"/>
      <c r="BA34" s="308"/>
      <c r="BB34" s="308"/>
      <c r="BC34" s="308"/>
      <c r="BD34" s="308"/>
      <c r="BE34" s="308"/>
      <c r="BF34" s="308"/>
      <c r="BG34" s="308"/>
      <c r="BH34" s="308"/>
      <c r="BI34" s="308"/>
      <c r="BJ34" s="308"/>
      <c r="BK34" s="308"/>
      <c r="BL34" s="308"/>
      <c r="BM34" s="308"/>
      <c r="BN34" s="308"/>
      <c r="BO34" s="308"/>
      <c r="BP34" s="308"/>
      <c r="BQ34" s="308"/>
      <c r="BR34" s="308"/>
      <c r="BS34" s="308"/>
      <c r="BT34" s="308"/>
      <c r="BU34" s="308"/>
      <c r="BV34" s="308"/>
      <c r="BW34" s="308"/>
      <c r="BX34" s="308"/>
      <c r="BY34" s="308"/>
      <c r="BZ34" s="308"/>
      <c r="CA34" s="308"/>
      <c r="CB34" s="308"/>
      <c r="CC34" s="308"/>
      <c r="CD34" s="308"/>
      <c r="CE34" s="308"/>
      <c r="CF34" s="308"/>
      <c r="CG34" s="308"/>
      <c r="CH34" s="308"/>
      <c r="CI34" s="308"/>
      <c r="CJ34" s="308"/>
      <c r="CK34" s="308"/>
      <c r="CL34" s="308"/>
      <c r="CM34" s="308"/>
      <c r="CN34" s="308"/>
      <c r="CO34" s="308"/>
      <c r="CP34" s="308"/>
      <c r="CQ34" s="308"/>
      <c r="CR34" s="308"/>
      <c r="CS34" s="308"/>
      <c r="CT34" s="308"/>
      <c r="CU34" s="308"/>
      <c r="CV34" s="308"/>
      <c r="CW34" s="308"/>
      <c r="CX34" s="308"/>
      <c r="CY34" s="308"/>
      <c r="CZ34" s="308"/>
      <c r="DA34" s="308"/>
      <c r="DB34" s="308"/>
      <c r="DC34" s="308"/>
      <c r="DD34" s="308"/>
      <c r="DE34" s="308"/>
      <c r="DF34" s="308"/>
      <c r="DG34" s="308"/>
      <c r="DH34" s="308"/>
      <c r="DI34" s="308"/>
      <c r="DJ34" s="308"/>
      <c r="DK34" s="308"/>
      <c r="DL34" s="308"/>
      <c r="DM34" s="308"/>
      <c r="DN34" s="308"/>
      <c r="DO34" s="308"/>
      <c r="DP34" s="308"/>
      <c r="DQ34" s="308"/>
      <c r="DR34" s="308"/>
      <c r="DS34" s="308"/>
      <c r="DT34" s="308"/>
      <c r="DU34" s="308"/>
    </row>
    <row r="35" spans="1:125" s="2" customFormat="1" ht="65.25" customHeight="1" x14ac:dyDescent="0.25">
      <c r="A35" s="325"/>
      <c r="B35" s="376"/>
      <c r="C35" s="408"/>
      <c r="D35" s="405" t="s">
        <v>258</v>
      </c>
      <c r="E35" s="417">
        <v>8000</v>
      </c>
      <c r="F35" s="433">
        <f t="shared" si="4"/>
        <v>8000</v>
      </c>
      <c r="G35" s="379"/>
      <c r="H35" s="380">
        <f t="shared" si="2"/>
        <v>960</v>
      </c>
      <c r="I35" s="380"/>
      <c r="J35" s="379"/>
      <c r="K35" s="438"/>
      <c r="L35" s="379"/>
      <c r="M35" s="380"/>
      <c r="N35" s="380"/>
      <c r="O35" s="382"/>
      <c r="P35" s="383"/>
      <c r="Q35" s="383"/>
      <c r="R35" s="384"/>
      <c r="S35" s="385"/>
      <c r="T35" s="385"/>
      <c r="U35" s="386"/>
      <c r="V35" s="406"/>
      <c r="W35" s="313"/>
      <c r="X35" s="313"/>
      <c r="Y35" s="314"/>
      <c r="Z35" s="306"/>
      <c r="AA35" s="315"/>
      <c r="AB35" s="316"/>
      <c r="AC35" s="316"/>
      <c r="AD35" s="316"/>
      <c r="AE35" s="316"/>
      <c r="AF35" s="316"/>
      <c r="AG35" s="317"/>
      <c r="AH35" s="317"/>
      <c r="AI35" s="317"/>
      <c r="AJ35" s="317"/>
      <c r="AK35" s="317"/>
      <c r="AL35" s="318"/>
      <c r="AM35" s="306"/>
      <c r="AN35" s="306"/>
      <c r="AO35" s="308"/>
      <c r="AP35" s="308"/>
      <c r="AQ35" s="308"/>
      <c r="AR35" s="308"/>
      <c r="AS35" s="308"/>
      <c r="AT35" s="308"/>
      <c r="AU35" s="308"/>
      <c r="AV35" s="308"/>
      <c r="AW35" s="308"/>
      <c r="AX35" s="308"/>
      <c r="AY35" s="308"/>
      <c r="AZ35" s="308"/>
      <c r="BA35" s="308"/>
      <c r="BB35" s="308"/>
      <c r="BC35" s="308"/>
      <c r="BD35" s="308"/>
      <c r="BE35" s="308"/>
      <c r="BF35" s="308"/>
      <c r="BG35" s="308"/>
      <c r="BH35" s="308"/>
      <c r="BI35" s="308"/>
      <c r="BJ35" s="308"/>
      <c r="BK35" s="308"/>
      <c r="BL35" s="308"/>
      <c r="BM35" s="308"/>
      <c r="BN35" s="308"/>
      <c r="BO35" s="308"/>
      <c r="BP35" s="308"/>
      <c r="BQ35" s="308"/>
      <c r="BR35" s="308"/>
      <c r="BS35" s="308"/>
      <c r="BT35" s="308"/>
      <c r="BU35" s="308"/>
      <c r="BV35" s="308"/>
      <c r="BW35" s="308"/>
      <c r="BX35" s="308"/>
      <c r="BY35" s="308"/>
      <c r="BZ35" s="308"/>
      <c r="CA35" s="308"/>
      <c r="CB35" s="308"/>
      <c r="CC35" s="308"/>
      <c r="CD35" s="308"/>
      <c r="CE35" s="308"/>
      <c r="CF35" s="308"/>
      <c r="CG35" s="308"/>
      <c r="CH35" s="308"/>
      <c r="CI35" s="308"/>
      <c r="CJ35" s="308"/>
      <c r="CK35" s="308"/>
      <c r="CL35" s="308"/>
      <c r="CM35" s="308"/>
      <c r="CN35" s="308"/>
      <c r="CO35" s="308"/>
      <c r="CP35" s="308"/>
      <c r="CQ35" s="308"/>
      <c r="CR35" s="308"/>
      <c r="CS35" s="308"/>
      <c r="CT35" s="308"/>
      <c r="CU35" s="308"/>
      <c r="CV35" s="308"/>
      <c r="CW35" s="308"/>
      <c r="CX35" s="308"/>
      <c r="CY35" s="308"/>
      <c r="CZ35" s="308"/>
      <c r="DA35" s="308"/>
      <c r="DB35" s="308"/>
      <c r="DC35" s="308"/>
      <c r="DD35" s="308"/>
      <c r="DE35" s="308"/>
      <c r="DF35" s="308"/>
      <c r="DG35" s="308"/>
      <c r="DH35" s="308"/>
      <c r="DI35" s="308"/>
      <c r="DJ35" s="308"/>
      <c r="DK35" s="308"/>
      <c r="DL35" s="308"/>
      <c r="DM35" s="308"/>
      <c r="DN35" s="308"/>
      <c r="DO35" s="308"/>
      <c r="DP35" s="308"/>
      <c r="DQ35" s="308"/>
      <c r="DR35" s="308"/>
      <c r="DS35" s="308"/>
      <c r="DT35" s="308"/>
      <c r="DU35" s="308"/>
    </row>
    <row r="36" spans="1:125" s="2" customFormat="1" ht="65.25" customHeight="1" x14ac:dyDescent="0.25">
      <c r="A36" s="325"/>
      <c r="B36" s="376"/>
      <c r="C36" s="408" t="s">
        <v>220</v>
      </c>
      <c r="D36" s="409" t="s">
        <v>224</v>
      </c>
      <c r="E36" s="377">
        <f>+E37</f>
        <v>14000</v>
      </c>
      <c r="F36" s="433">
        <f t="shared" si="4"/>
        <v>14000</v>
      </c>
      <c r="G36" s="379"/>
      <c r="H36" s="380"/>
      <c r="I36" s="380"/>
      <c r="J36" s="379"/>
      <c r="K36" s="428"/>
      <c r="L36" s="379"/>
      <c r="M36" s="380"/>
      <c r="N36" s="380"/>
      <c r="O36" s="382"/>
      <c r="P36" s="383"/>
      <c r="Q36" s="383"/>
      <c r="R36" s="384"/>
      <c r="S36" s="385"/>
      <c r="T36" s="385">
        <v>43800</v>
      </c>
      <c r="U36" s="386" t="s">
        <v>278</v>
      </c>
      <c r="V36" s="406"/>
      <c r="W36" s="313"/>
      <c r="X36" s="313"/>
      <c r="Y36" s="314"/>
      <c r="Z36" s="306"/>
      <c r="AA36" s="315"/>
      <c r="AB36" s="316"/>
      <c r="AC36" s="316"/>
      <c r="AD36" s="316"/>
      <c r="AE36" s="316"/>
      <c r="AF36" s="316"/>
      <c r="AG36" s="317"/>
      <c r="AH36" s="317"/>
      <c r="AI36" s="317"/>
      <c r="AJ36" s="317"/>
      <c r="AK36" s="317"/>
      <c r="AL36" s="318"/>
      <c r="AM36" s="306"/>
      <c r="AN36" s="306"/>
      <c r="AO36" s="308"/>
      <c r="AP36" s="308"/>
      <c r="AQ36" s="308"/>
      <c r="AR36" s="308"/>
      <c r="AS36" s="308"/>
      <c r="AT36" s="308"/>
      <c r="AU36" s="308"/>
      <c r="AV36" s="308"/>
      <c r="AW36" s="308"/>
      <c r="AX36" s="308"/>
      <c r="AY36" s="308"/>
      <c r="AZ36" s="308"/>
      <c r="BA36" s="308"/>
      <c r="BB36" s="308"/>
      <c r="BC36" s="308"/>
      <c r="BD36" s="308"/>
      <c r="BE36" s="308"/>
      <c r="BF36" s="308"/>
      <c r="BG36" s="308"/>
      <c r="BH36" s="308"/>
      <c r="BI36" s="308"/>
      <c r="BJ36" s="308"/>
      <c r="BK36" s="308"/>
      <c r="BL36" s="308"/>
      <c r="BM36" s="308"/>
      <c r="BN36" s="308"/>
      <c r="BO36" s="308"/>
      <c r="BP36" s="308"/>
      <c r="BQ36" s="308"/>
      <c r="BR36" s="308"/>
      <c r="BS36" s="308"/>
      <c r="BT36" s="308"/>
      <c r="BU36" s="308"/>
      <c r="BV36" s="308"/>
      <c r="BW36" s="308"/>
      <c r="BX36" s="308"/>
      <c r="BY36" s="308"/>
      <c r="BZ36" s="308"/>
      <c r="CA36" s="308"/>
      <c r="CB36" s="308"/>
      <c r="CC36" s="308"/>
      <c r="CD36" s="308"/>
      <c r="CE36" s="308"/>
      <c r="CF36" s="308"/>
      <c r="CG36" s="308"/>
      <c r="CH36" s="308"/>
      <c r="CI36" s="308"/>
      <c r="CJ36" s="308"/>
      <c r="CK36" s="308"/>
      <c r="CL36" s="308"/>
      <c r="CM36" s="308"/>
      <c r="CN36" s="308"/>
      <c r="CO36" s="308"/>
      <c r="CP36" s="308"/>
      <c r="CQ36" s="308"/>
      <c r="CR36" s="308"/>
      <c r="CS36" s="308"/>
      <c r="CT36" s="308"/>
      <c r="CU36" s="308"/>
      <c r="CV36" s="308"/>
      <c r="CW36" s="308"/>
      <c r="CX36" s="308"/>
      <c r="CY36" s="308"/>
      <c r="CZ36" s="308"/>
      <c r="DA36" s="308"/>
      <c r="DB36" s="308"/>
      <c r="DC36" s="308"/>
      <c r="DD36" s="308"/>
      <c r="DE36" s="308"/>
      <c r="DF36" s="308"/>
      <c r="DG36" s="308"/>
      <c r="DH36" s="308"/>
      <c r="DI36" s="308"/>
      <c r="DJ36" s="308"/>
      <c r="DK36" s="308"/>
      <c r="DL36" s="308"/>
      <c r="DM36" s="308"/>
      <c r="DN36" s="308"/>
      <c r="DO36" s="308"/>
      <c r="DP36" s="308"/>
      <c r="DQ36" s="308"/>
      <c r="DR36" s="308"/>
      <c r="DS36" s="308"/>
      <c r="DT36" s="308"/>
      <c r="DU36" s="308"/>
    </row>
    <row r="37" spans="1:125" s="2" customFormat="1" ht="65.25" customHeight="1" x14ac:dyDescent="0.25">
      <c r="A37" s="325"/>
      <c r="B37" s="376" t="s">
        <v>229</v>
      </c>
      <c r="C37" s="408"/>
      <c r="D37" s="409" t="s">
        <v>253</v>
      </c>
      <c r="E37" s="377">
        <v>14000</v>
      </c>
      <c r="F37" s="433">
        <f t="shared" si="4"/>
        <v>14000</v>
      </c>
      <c r="G37" s="379"/>
      <c r="H37" s="380">
        <f>+F37*0.12</f>
        <v>1680</v>
      </c>
      <c r="I37" s="380"/>
      <c r="J37" s="379"/>
      <c r="K37" s="428"/>
      <c r="L37" s="379"/>
      <c r="M37" s="380"/>
      <c r="N37" s="380"/>
      <c r="O37" s="382"/>
      <c r="P37" s="383"/>
      <c r="Q37" s="383"/>
      <c r="R37" s="384"/>
      <c r="S37" s="385"/>
      <c r="T37" s="385"/>
      <c r="U37" s="386"/>
      <c r="V37" s="406"/>
      <c r="W37" s="313"/>
      <c r="X37" s="313"/>
      <c r="Y37" s="314"/>
      <c r="Z37" s="306"/>
      <c r="AA37" s="315"/>
      <c r="AB37" s="316"/>
      <c r="AC37" s="316"/>
      <c r="AD37" s="316"/>
      <c r="AE37" s="316"/>
      <c r="AF37" s="316"/>
      <c r="AG37" s="317"/>
      <c r="AH37" s="317"/>
      <c r="AI37" s="317"/>
      <c r="AJ37" s="317"/>
      <c r="AK37" s="317"/>
      <c r="AL37" s="318"/>
      <c r="AM37" s="306"/>
      <c r="AN37" s="306"/>
      <c r="AO37" s="308"/>
      <c r="AP37" s="308"/>
      <c r="AQ37" s="308"/>
      <c r="AR37" s="308"/>
      <c r="AS37" s="308"/>
      <c r="AT37" s="308"/>
      <c r="AU37" s="308"/>
      <c r="AV37" s="308"/>
      <c r="AW37" s="308"/>
      <c r="AX37" s="308"/>
      <c r="AY37" s="308"/>
      <c r="AZ37" s="308"/>
      <c r="BA37" s="308"/>
      <c r="BB37" s="308"/>
      <c r="BC37" s="308"/>
      <c r="BD37" s="308"/>
      <c r="BE37" s="308"/>
      <c r="BF37" s="308"/>
      <c r="BG37" s="308"/>
      <c r="BH37" s="308"/>
      <c r="BI37" s="308"/>
      <c r="BJ37" s="308"/>
      <c r="BK37" s="308"/>
      <c r="BL37" s="308"/>
      <c r="BM37" s="308"/>
      <c r="BN37" s="308"/>
      <c r="BO37" s="308"/>
      <c r="BP37" s="308"/>
      <c r="BQ37" s="308"/>
      <c r="BR37" s="308"/>
      <c r="BS37" s="308"/>
      <c r="BT37" s="308"/>
      <c r="BU37" s="308"/>
      <c r="BV37" s="308"/>
      <c r="BW37" s="308"/>
      <c r="BX37" s="308"/>
      <c r="BY37" s="308"/>
      <c r="BZ37" s="308"/>
      <c r="CA37" s="308"/>
      <c r="CB37" s="308"/>
      <c r="CC37" s="308"/>
      <c r="CD37" s="308"/>
      <c r="CE37" s="308"/>
      <c r="CF37" s="308"/>
      <c r="CG37" s="308"/>
      <c r="CH37" s="308"/>
      <c r="CI37" s="308"/>
      <c r="CJ37" s="308"/>
      <c r="CK37" s="308"/>
      <c r="CL37" s="308"/>
      <c r="CM37" s="308"/>
      <c r="CN37" s="308"/>
      <c r="CO37" s="308"/>
      <c r="CP37" s="308"/>
      <c r="CQ37" s="308"/>
      <c r="CR37" s="308"/>
      <c r="CS37" s="308"/>
      <c r="CT37" s="308"/>
      <c r="CU37" s="308"/>
      <c r="CV37" s="308"/>
      <c r="CW37" s="308"/>
      <c r="CX37" s="308"/>
      <c r="CY37" s="308"/>
      <c r="CZ37" s="308"/>
      <c r="DA37" s="308"/>
      <c r="DB37" s="308"/>
      <c r="DC37" s="308"/>
      <c r="DD37" s="308"/>
      <c r="DE37" s="308"/>
      <c r="DF37" s="308"/>
      <c r="DG37" s="308"/>
      <c r="DH37" s="308"/>
      <c r="DI37" s="308"/>
      <c r="DJ37" s="308"/>
      <c r="DK37" s="308"/>
      <c r="DL37" s="308"/>
      <c r="DM37" s="308"/>
      <c r="DN37" s="308"/>
      <c r="DO37" s="308"/>
      <c r="DP37" s="308"/>
      <c r="DQ37" s="308"/>
      <c r="DR37" s="308"/>
      <c r="DS37" s="308"/>
      <c r="DT37" s="308"/>
      <c r="DU37" s="308"/>
    </row>
    <row r="38" spans="1:125" s="2" customFormat="1" ht="65.25" customHeight="1" x14ac:dyDescent="0.25">
      <c r="A38" s="325"/>
      <c r="B38" s="376"/>
      <c r="C38" s="408" t="s">
        <v>221</v>
      </c>
      <c r="D38" s="409" t="s">
        <v>225</v>
      </c>
      <c r="E38" s="377">
        <f>+E39</f>
        <v>0</v>
      </c>
      <c r="F38" s="433"/>
      <c r="G38" s="379"/>
      <c r="H38" s="380"/>
      <c r="I38" s="380"/>
      <c r="J38" s="379"/>
      <c r="K38" s="428"/>
      <c r="L38" s="379"/>
      <c r="M38" s="380"/>
      <c r="N38" s="380"/>
      <c r="O38" s="382"/>
      <c r="P38" s="383"/>
      <c r="Q38" s="383"/>
      <c r="R38" s="384"/>
      <c r="S38" s="385"/>
      <c r="T38" s="385"/>
      <c r="U38" s="386"/>
      <c r="V38" s="406"/>
      <c r="W38" s="313"/>
      <c r="X38" s="313"/>
      <c r="Y38" s="314"/>
      <c r="Z38" s="306"/>
      <c r="AA38" s="315"/>
      <c r="AB38" s="316"/>
      <c r="AC38" s="316"/>
      <c r="AD38" s="316"/>
      <c r="AE38" s="316"/>
      <c r="AF38" s="316"/>
      <c r="AG38" s="317"/>
      <c r="AH38" s="317"/>
      <c r="AI38" s="317"/>
      <c r="AJ38" s="317"/>
      <c r="AK38" s="317"/>
      <c r="AL38" s="318"/>
      <c r="AM38" s="306"/>
      <c r="AN38" s="306"/>
      <c r="AO38" s="308"/>
      <c r="AP38" s="308"/>
      <c r="AQ38" s="308"/>
      <c r="AR38" s="308"/>
      <c r="AS38" s="308"/>
      <c r="AT38" s="308"/>
      <c r="AU38" s="308"/>
      <c r="AV38" s="308"/>
      <c r="AW38" s="308"/>
      <c r="AX38" s="308"/>
      <c r="AY38" s="308"/>
      <c r="AZ38" s="308"/>
      <c r="BA38" s="308"/>
      <c r="BB38" s="308"/>
      <c r="BC38" s="308"/>
      <c r="BD38" s="308"/>
      <c r="BE38" s="308"/>
      <c r="BF38" s="308"/>
      <c r="BG38" s="308"/>
      <c r="BH38" s="308"/>
      <c r="BI38" s="308"/>
      <c r="BJ38" s="308"/>
      <c r="BK38" s="308"/>
      <c r="BL38" s="308"/>
      <c r="BM38" s="308"/>
      <c r="BN38" s="308"/>
      <c r="BO38" s="308"/>
      <c r="BP38" s="308"/>
      <c r="BQ38" s="308"/>
      <c r="BR38" s="308"/>
      <c r="BS38" s="308"/>
      <c r="BT38" s="308"/>
      <c r="BU38" s="308"/>
      <c r="BV38" s="308"/>
      <c r="BW38" s="308"/>
      <c r="BX38" s="308"/>
      <c r="BY38" s="308"/>
      <c r="BZ38" s="308"/>
      <c r="CA38" s="308"/>
      <c r="CB38" s="308"/>
      <c r="CC38" s="308"/>
      <c r="CD38" s="308"/>
      <c r="CE38" s="308"/>
      <c r="CF38" s="308"/>
      <c r="CG38" s="308"/>
      <c r="CH38" s="308"/>
      <c r="CI38" s="308"/>
      <c r="CJ38" s="308"/>
      <c r="CK38" s="308"/>
      <c r="CL38" s="308"/>
      <c r="CM38" s="308"/>
      <c r="CN38" s="308"/>
      <c r="CO38" s="308"/>
      <c r="CP38" s="308"/>
      <c r="CQ38" s="308"/>
      <c r="CR38" s="308"/>
      <c r="CS38" s="308"/>
      <c r="CT38" s="308"/>
      <c r="CU38" s="308"/>
      <c r="CV38" s="308"/>
      <c r="CW38" s="308"/>
      <c r="CX38" s="308"/>
      <c r="CY38" s="308"/>
      <c r="CZ38" s="308"/>
      <c r="DA38" s="308"/>
      <c r="DB38" s="308"/>
      <c r="DC38" s="308"/>
      <c r="DD38" s="308"/>
      <c r="DE38" s="308"/>
      <c r="DF38" s="308"/>
      <c r="DG38" s="308"/>
      <c r="DH38" s="308"/>
      <c r="DI38" s="308"/>
      <c r="DJ38" s="308"/>
      <c r="DK38" s="308"/>
      <c r="DL38" s="308"/>
      <c r="DM38" s="308"/>
      <c r="DN38" s="308"/>
      <c r="DO38" s="308"/>
      <c r="DP38" s="308"/>
      <c r="DQ38" s="308"/>
      <c r="DR38" s="308"/>
      <c r="DS38" s="308"/>
      <c r="DT38" s="308"/>
      <c r="DU38" s="308"/>
    </row>
    <row r="39" spans="1:125" s="2" customFormat="1" ht="66" hidden="1" customHeight="1" x14ac:dyDescent="0.25">
      <c r="A39" s="325"/>
      <c r="B39" s="376" t="s">
        <v>230</v>
      </c>
      <c r="C39" s="408"/>
      <c r="D39" s="409"/>
      <c r="E39" s="377"/>
      <c r="F39" s="433"/>
      <c r="G39" s="379"/>
      <c r="H39" s="380"/>
      <c r="I39" s="380"/>
      <c r="J39" s="379"/>
      <c r="K39" s="428"/>
      <c r="L39" s="379"/>
      <c r="M39" s="380"/>
      <c r="N39" s="380"/>
      <c r="O39" s="382"/>
      <c r="P39" s="383"/>
      <c r="Q39" s="383"/>
      <c r="R39" s="384"/>
      <c r="S39" s="385"/>
      <c r="T39" s="385"/>
      <c r="U39" s="386"/>
      <c r="V39" s="406"/>
      <c r="W39" s="313"/>
      <c r="X39" s="313"/>
      <c r="Y39" s="314"/>
      <c r="Z39" s="306"/>
      <c r="AA39" s="315">
        <v>12</v>
      </c>
      <c r="AB39" s="316">
        <v>0.4</v>
      </c>
      <c r="AC39" s="316">
        <v>0.2</v>
      </c>
      <c r="AD39" s="316">
        <v>0.05</v>
      </c>
      <c r="AE39" s="316">
        <v>0.25</v>
      </c>
      <c r="AF39" s="316">
        <v>0.1</v>
      </c>
      <c r="AG39" s="317">
        <f t="shared" si="3"/>
        <v>0</v>
      </c>
      <c r="AH39" s="317">
        <f t="shared" si="3"/>
        <v>0</v>
      </c>
      <c r="AI39" s="317">
        <f t="shared" si="3"/>
        <v>0</v>
      </c>
      <c r="AJ39" s="317">
        <f t="shared" si="3"/>
        <v>0</v>
      </c>
      <c r="AK39" s="317">
        <f t="shared" si="3"/>
        <v>0</v>
      </c>
      <c r="AL39" s="306"/>
      <c r="AM39" s="306"/>
      <c r="AN39" s="306"/>
      <c r="AO39" s="308"/>
      <c r="AP39" s="308"/>
      <c r="AQ39" s="308"/>
      <c r="AR39" s="308"/>
      <c r="AS39" s="308"/>
      <c r="AT39" s="308"/>
      <c r="AU39" s="308"/>
      <c r="AV39" s="308"/>
      <c r="AW39" s="308"/>
      <c r="AX39" s="308"/>
      <c r="AY39" s="308"/>
      <c r="AZ39" s="308"/>
      <c r="BA39" s="308"/>
      <c r="BB39" s="308"/>
      <c r="BC39" s="308"/>
      <c r="BD39" s="308"/>
      <c r="BE39" s="308"/>
      <c r="BF39" s="308"/>
      <c r="BG39" s="308"/>
      <c r="BH39" s="308"/>
      <c r="BI39" s="308"/>
      <c r="BJ39" s="308"/>
      <c r="BK39" s="308"/>
      <c r="BL39" s="308"/>
      <c r="BM39" s="308"/>
      <c r="BN39" s="308"/>
      <c r="BO39" s="308"/>
      <c r="BP39" s="308"/>
      <c r="BQ39" s="308"/>
      <c r="BR39" s="308"/>
      <c r="BS39" s="308"/>
      <c r="BT39" s="308"/>
      <c r="BU39" s="308"/>
      <c r="BV39" s="308"/>
      <c r="BW39" s="308"/>
      <c r="BX39" s="308"/>
      <c r="BY39" s="308"/>
      <c r="BZ39" s="308"/>
      <c r="CA39" s="308"/>
      <c r="CB39" s="308"/>
      <c r="CC39" s="308"/>
      <c r="CD39" s="308"/>
      <c r="CE39" s="308"/>
      <c r="CF39" s="308"/>
      <c r="CG39" s="308"/>
      <c r="CH39" s="308"/>
      <c r="CI39" s="308"/>
      <c r="CJ39" s="308"/>
      <c r="CK39" s="308"/>
      <c r="CL39" s="308"/>
      <c r="CM39" s="308"/>
      <c r="CN39" s="308"/>
      <c r="CO39" s="308"/>
      <c r="CP39" s="308"/>
      <c r="CQ39" s="308"/>
      <c r="CR39" s="308"/>
      <c r="CS39" s="308"/>
      <c r="CT39" s="308"/>
      <c r="CU39" s="308"/>
      <c r="CV39" s="308"/>
      <c r="CW39" s="308"/>
      <c r="CX39" s="308"/>
      <c r="CY39" s="308"/>
      <c r="CZ39" s="308"/>
      <c r="DA39" s="308"/>
      <c r="DB39" s="308"/>
      <c r="DC39" s="308"/>
      <c r="DD39" s="308"/>
      <c r="DE39" s="308"/>
      <c r="DF39" s="308"/>
      <c r="DG39" s="308"/>
      <c r="DH39" s="308"/>
      <c r="DI39" s="308"/>
      <c r="DJ39" s="308"/>
      <c r="DK39" s="308"/>
      <c r="DL39" s="308"/>
      <c r="DM39" s="308"/>
      <c r="DN39" s="308"/>
      <c r="DO39" s="308"/>
      <c r="DP39" s="308"/>
      <c r="DQ39" s="308"/>
      <c r="DR39" s="308"/>
      <c r="DS39" s="308"/>
      <c r="DT39" s="308"/>
      <c r="DU39" s="308"/>
    </row>
    <row r="40" spans="1:125" s="4" customFormat="1" x14ac:dyDescent="0.25">
      <c r="A40" s="325"/>
      <c r="B40" s="373"/>
      <c r="C40" s="363"/>
      <c r="D40" s="364" t="s">
        <v>14</v>
      </c>
      <c r="E40" s="365">
        <f>+E18+E16</f>
        <v>1153685</v>
      </c>
      <c r="F40" s="434">
        <f>+F39+F22</f>
        <v>0</v>
      </c>
      <c r="G40" s="366">
        <f>+G39+G22</f>
        <v>0</v>
      </c>
      <c r="H40" s="366"/>
      <c r="I40" s="437">
        <f>+I39+I22</f>
        <v>0</v>
      </c>
      <c r="J40" s="366"/>
      <c r="K40" s="429" t="e">
        <f t="shared" ref="K40:N40" si="5">+K39+K22</f>
        <v>#VALUE!</v>
      </c>
      <c r="L40" s="366" t="e">
        <f t="shared" si="5"/>
        <v>#VALUE!</v>
      </c>
      <c r="M40" s="366">
        <f t="shared" si="5"/>
        <v>0</v>
      </c>
      <c r="N40" s="366" t="e">
        <f t="shared" si="5"/>
        <v>#VALUE!</v>
      </c>
      <c r="O40" s="367">
        <f>+F40/E40</f>
        <v>0</v>
      </c>
      <c r="P40" s="368">
        <f>+G40/E40</f>
        <v>0</v>
      </c>
      <c r="Q40" s="368" t="e">
        <f>+I40/E40+#REF!/E40</f>
        <v>#REF!</v>
      </c>
      <c r="R40" s="369" t="e">
        <f>+SUM(O40:Q40)</f>
        <v>#REF!</v>
      </c>
      <c r="S40" s="371"/>
      <c r="T40" s="371"/>
      <c r="U40" s="370"/>
      <c r="V40" s="372"/>
      <c r="W40" s="319"/>
      <c r="X40" s="319"/>
      <c r="Y40" s="320"/>
      <c r="Z40" s="307"/>
      <c r="AA40" s="321"/>
      <c r="AB40" s="322"/>
      <c r="AC40" s="322"/>
      <c r="AD40" s="322"/>
      <c r="AE40" s="322"/>
      <c r="AF40" s="322"/>
      <c r="AG40" s="323"/>
      <c r="AH40" s="323"/>
      <c r="AI40" s="323"/>
      <c r="AJ40" s="323"/>
      <c r="AK40" s="323"/>
      <c r="AL40" s="307"/>
      <c r="AM40" s="307"/>
      <c r="AN40" s="307"/>
      <c r="AO40" s="324"/>
      <c r="AP40" s="324"/>
      <c r="AQ40" s="324"/>
      <c r="AR40" s="324"/>
      <c r="AS40" s="324"/>
      <c r="AT40" s="324"/>
      <c r="AU40" s="324"/>
      <c r="AV40" s="324"/>
      <c r="AW40" s="324"/>
      <c r="AX40" s="324"/>
      <c r="AY40" s="324"/>
      <c r="AZ40" s="324"/>
      <c r="BA40" s="324"/>
      <c r="BB40" s="324"/>
      <c r="BC40" s="324"/>
      <c r="BD40" s="324"/>
      <c r="BE40" s="324"/>
      <c r="BF40" s="324"/>
      <c r="BG40" s="324"/>
      <c r="BH40" s="324"/>
      <c r="BI40" s="324"/>
      <c r="BJ40" s="324"/>
      <c r="BK40" s="324"/>
      <c r="BL40" s="324"/>
      <c r="BM40" s="324"/>
      <c r="BN40" s="324"/>
      <c r="BO40" s="324"/>
      <c r="BP40" s="324"/>
      <c r="BQ40" s="324"/>
      <c r="BR40" s="324"/>
      <c r="BS40" s="324"/>
      <c r="BT40" s="324"/>
      <c r="BU40" s="324"/>
      <c r="BV40" s="324"/>
      <c r="BW40" s="324"/>
      <c r="BX40" s="324"/>
      <c r="BY40" s="324"/>
      <c r="BZ40" s="324"/>
      <c r="CA40" s="324"/>
      <c r="CB40" s="324"/>
      <c r="CC40" s="324"/>
      <c r="CD40" s="324"/>
      <c r="CE40" s="324"/>
      <c r="CF40" s="324"/>
      <c r="CG40" s="324"/>
      <c r="CH40" s="324"/>
      <c r="CI40" s="324"/>
      <c r="CJ40" s="324"/>
      <c r="CK40" s="324"/>
      <c r="CL40" s="324"/>
      <c r="CM40" s="324"/>
      <c r="CN40" s="324"/>
      <c r="CO40" s="324"/>
      <c r="CP40" s="324"/>
      <c r="CQ40" s="324"/>
      <c r="CR40" s="324"/>
      <c r="CS40" s="324"/>
      <c r="CT40" s="324"/>
      <c r="CU40" s="324"/>
      <c r="CV40" s="324"/>
      <c r="CW40" s="324"/>
      <c r="CX40" s="324"/>
      <c r="CY40" s="324"/>
      <c r="CZ40" s="324"/>
      <c r="DA40" s="324"/>
      <c r="DB40" s="324"/>
      <c r="DC40" s="324"/>
      <c r="DD40" s="324"/>
      <c r="DE40" s="324"/>
      <c r="DF40" s="324"/>
      <c r="DG40" s="324"/>
      <c r="DH40" s="324"/>
      <c r="DI40" s="324"/>
      <c r="DJ40" s="324"/>
      <c r="DK40" s="324"/>
      <c r="DL40" s="324"/>
      <c r="DM40" s="324"/>
      <c r="DN40" s="324"/>
      <c r="DO40" s="324"/>
      <c r="DP40" s="324"/>
      <c r="DQ40" s="324"/>
      <c r="DR40" s="324"/>
      <c r="DS40" s="324"/>
      <c r="DT40" s="324"/>
      <c r="DU40" s="324"/>
    </row>
    <row r="41" spans="1:125" x14ac:dyDescent="0.25">
      <c r="A41" s="308"/>
      <c r="B41" s="310"/>
      <c r="C41" s="310"/>
      <c r="D41" s="310"/>
      <c r="E41" s="310"/>
      <c r="F41" s="310"/>
      <c r="G41" s="310"/>
      <c r="H41" s="310"/>
      <c r="I41" s="310"/>
      <c r="J41" s="310"/>
      <c r="K41" s="310"/>
      <c r="L41" s="310"/>
      <c r="M41" s="310"/>
      <c r="N41" s="310"/>
      <c r="O41" s="310"/>
      <c r="P41" s="310"/>
      <c r="Q41" s="310"/>
      <c r="R41" s="310"/>
      <c r="S41" s="310"/>
      <c r="T41" s="310"/>
      <c r="U41" s="310"/>
      <c r="V41" s="362"/>
      <c r="W41" s="308"/>
      <c r="X41" s="308"/>
      <c r="Y41" s="306"/>
      <c r="Z41" s="306"/>
      <c r="AA41" s="306"/>
      <c r="AB41" s="306"/>
      <c r="AC41" s="306"/>
      <c r="AD41" s="306"/>
      <c r="AE41" s="306"/>
      <c r="AF41" s="306"/>
      <c r="AG41" s="306"/>
      <c r="AH41" s="306"/>
      <c r="AI41" s="306"/>
      <c r="AJ41" s="306"/>
      <c r="AK41" s="306"/>
      <c r="AL41" s="306"/>
      <c r="AM41" s="306"/>
      <c r="AN41" s="306"/>
      <c r="AO41" s="308"/>
      <c r="AP41" s="308"/>
      <c r="AQ41" s="308"/>
      <c r="AR41" s="308"/>
      <c r="AS41" s="308"/>
      <c r="AT41" s="308"/>
      <c r="AU41" s="308"/>
      <c r="AV41" s="308"/>
      <c r="AW41" s="308"/>
      <c r="AX41" s="308"/>
      <c r="AY41" s="308"/>
      <c r="AZ41" s="308"/>
      <c r="BA41" s="308"/>
      <c r="BB41" s="308"/>
      <c r="BC41" s="308"/>
      <c r="BD41" s="308"/>
      <c r="BE41" s="308"/>
      <c r="BF41" s="308"/>
      <c r="BG41" s="308"/>
      <c r="BH41" s="308"/>
      <c r="BI41" s="308"/>
      <c r="BJ41" s="308"/>
      <c r="BK41" s="308"/>
      <c r="BL41" s="308"/>
      <c r="BM41" s="308"/>
      <c r="BN41" s="308"/>
      <c r="BO41" s="308"/>
      <c r="BP41" s="308"/>
      <c r="BQ41" s="308"/>
      <c r="BR41" s="308"/>
      <c r="BS41" s="308"/>
      <c r="BT41" s="308"/>
      <c r="BU41" s="308"/>
      <c r="BV41" s="308"/>
      <c r="BW41" s="308"/>
      <c r="BX41" s="308"/>
      <c r="BY41" s="308"/>
      <c r="BZ41" s="308"/>
      <c r="CA41" s="308"/>
      <c r="CB41" s="308"/>
      <c r="CC41" s="308"/>
      <c r="CD41" s="308"/>
      <c r="CE41" s="308"/>
      <c r="CF41" s="308"/>
      <c r="CG41" s="308"/>
      <c r="CH41" s="308"/>
      <c r="CI41" s="308"/>
      <c r="CJ41" s="308"/>
    </row>
    <row r="42" spans="1:125" x14ac:dyDescent="0.25">
      <c r="A42" s="308"/>
      <c r="B42" s="310"/>
      <c r="C42" s="310"/>
      <c r="D42" s="310"/>
      <c r="E42" s="310"/>
      <c r="F42" s="310"/>
      <c r="G42" s="310"/>
      <c r="H42" s="310"/>
      <c r="I42" s="310"/>
      <c r="J42" s="310"/>
      <c r="K42" s="310"/>
      <c r="L42" s="310"/>
      <c r="M42" s="310"/>
      <c r="N42" s="310"/>
      <c r="O42" s="310"/>
      <c r="P42" s="310"/>
      <c r="Q42" s="310"/>
      <c r="R42" s="310"/>
      <c r="S42" s="310"/>
      <c r="T42" s="310"/>
      <c r="U42" s="310"/>
      <c r="V42" s="362"/>
      <c r="W42" s="308"/>
      <c r="X42" s="308"/>
      <c r="Y42" s="306"/>
      <c r="Z42" s="306"/>
      <c r="AA42" s="306"/>
      <c r="AB42" s="306"/>
      <c r="AC42" s="306"/>
      <c r="AD42" s="306"/>
      <c r="AE42" s="306"/>
      <c r="AF42" s="306"/>
      <c r="AG42" s="306"/>
      <c r="AH42" s="306"/>
      <c r="AI42" s="306"/>
      <c r="AJ42" s="306"/>
      <c r="AK42" s="306"/>
      <c r="AL42" s="306"/>
      <c r="AM42" s="306"/>
      <c r="AN42" s="306"/>
      <c r="AO42" s="308"/>
      <c r="AP42" s="308"/>
      <c r="AQ42" s="308"/>
      <c r="AR42" s="308"/>
      <c r="AS42" s="308"/>
      <c r="AT42" s="308"/>
      <c r="AU42" s="308"/>
      <c r="AV42" s="308"/>
      <c r="AW42" s="308"/>
      <c r="AX42" s="308"/>
      <c r="AY42" s="308"/>
      <c r="AZ42" s="308"/>
      <c r="BA42" s="308"/>
      <c r="BB42" s="308"/>
      <c r="BC42" s="308"/>
      <c r="BD42" s="308"/>
      <c r="BE42" s="308"/>
      <c r="BF42" s="308"/>
      <c r="BG42" s="308"/>
      <c r="BH42" s="308"/>
      <c r="BI42" s="308"/>
      <c r="BJ42" s="308"/>
      <c r="BK42" s="308"/>
      <c r="BL42" s="308"/>
      <c r="BM42" s="308"/>
      <c r="BN42" s="308"/>
      <c r="BO42" s="308"/>
      <c r="BP42" s="308"/>
      <c r="BQ42" s="308"/>
      <c r="BR42" s="308"/>
      <c r="BS42" s="308"/>
      <c r="BT42" s="308"/>
      <c r="BU42" s="308"/>
      <c r="BV42" s="308"/>
      <c r="BW42" s="308"/>
      <c r="BX42" s="308"/>
      <c r="BY42" s="308"/>
      <c r="BZ42" s="308"/>
      <c r="CA42" s="308"/>
      <c r="CB42" s="308"/>
      <c r="CC42" s="308"/>
      <c r="CD42" s="308"/>
      <c r="CE42" s="308"/>
      <c r="CF42" s="308"/>
      <c r="CG42" s="308"/>
      <c r="CH42" s="308"/>
      <c r="CI42" s="308"/>
      <c r="CJ42" s="308"/>
    </row>
    <row r="43" spans="1:125" x14ac:dyDescent="0.25">
      <c r="A43" s="308"/>
      <c r="B43" s="311"/>
      <c r="C43" s="355"/>
      <c r="D43" s="356"/>
      <c r="E43" s="357"/>
      <c r="F43" s="357"/>
      <c r="G43" s="357"/>
      <c r="H43" s="357"/>
      <c r="I43" s="357"/>
      <c r="J43" s="357"/>
      <c r="K43" s="357"/>
      <c r="L43" s="357"/>
      <c r="M43" s="357"/>
      <c r="N43" s="357"/>
      <c r="O43" s="358"/>
      <c r="P43" s="358"/>
      <c r="Q43" s="358"/>
      <c r="R43" s="358"/>
      <c r="S43" s="359"/>
      <c r="T43" s="359"/>
      <c r="U43" s="319"/>
      <c r="V43" s="319"/>
      <c r="W43" s="308"/>
      <c r="X43" s="308"/>
      <c r="Y43" s="306"/>
      <c r="Z43" s="306"/>
      <c r="AA43" s="306"/>
      <c r="AB43" s="306"/>
      <c r="AC43" s="306"/>
      <c r="AD43" s="306"/>
      <c r="AE43" s="306"/>
      <c r="AF43" s="306"/>
      <c r="AG43" s="306"/>
      <c r="AH43" s="306"/>
      <c r="AI43" s="306"/>
      <c r="AJ43" s="306"/>
      <c r="AK43" s="306"/>
      <c r="AL43" s="306"/>
      <c r="AM43" s="306"/>
      <c r="AN43" s="306"/>
      <c r="AO43" s="308"/>
      <c r="AP43" s="308"/>
      <c r="AQ43" s="308"/>
      <c r="AR43" s="308"/>
      <c r="AS43" s="308"/>
      <c r="AT43" s="308"/>
      <c r="AU43" s="308"/>
      <c r="AV43" s="308"/>
      <c r="AW43" s="308"/>
      <c r="AX43" s="308"/>
      <c r="AY43" s="308"/>
      <c r="AZ43" s="308"/>
      <c r="BA43" s="308"/>
      <c r="BB43" s="308"/>
      <c r="BC43" s="308"/>
      <c r="BD43" s="308"/>
      <c r="BE43" s="308"/>
      <c r="BF43" s="308"/>
      <c r="BG43" s="308"/>
      <c r="BH43" s="308"/>
      <c r="BI43" s="308"/>
      <c r="BJ43" s="308"/>
      <c r="BK43" s="308"/>
      <c r="BL43" s="308"/>
      <c r="BM43" s="308"/>
      <c r="BN43" s="308"/>
      <c r="BO43" s="308"/>
      <c r="BP43" s="308"/>
      <c r="BQ43" s="308"/>
      <c r="BR43" s="308"/>
      <c r="BS43" s="308"/>
      <c r="BT43" s="308"/>
      <c r="BU43" s="308"/>
      <c r="BV43" s="308"/>
      <c r="BW43" s="308"/>
      <c r="BX43" s="308"/>
      <c r="BY43" s="308"/>
      <c r="BZ43" s="308"/>
      <c r="CA43" s="308"/>
      <c r="CB43" s="308"/>
      <c r="CC43" s="308"/>
      <c r="CD43" s="308"/>
      <c r="CE43" s="308"/>
      <c r="CF43" s="308"/>
      <c r="CG43" s="308"/>
      <c r="CH43" s="308"/>
      <c r="CI43" s="308"/>
      <c r="CJ43" s="308"/>
    </row>
    <row r="44" spans="1:125" x14ac:dyDescent="0.25">
      <c r="A44" s="308"/>
      <c r="B44" s="310"/>
      <c r="C44" s="310"/>
      <c r="D44" s="310"/>
      <c r="E44" s="310"/>
      <c r="F44" s="374"/>
      <c r="G44" s="310"/>
      <c r="H44" s="310"/>
      <c r="I44" s="310"/>
      <c r="J44" s="310"/>
      <c r="K44" s="310"/>
      <c r="L44" s="310"/>
      <c r="M44" s="310"/>
      <c r="N44" s="310"/>
      <c r="O44" s="310"/>
      <c r="P44" s="310"/>
      <c r="Q44" s="310"/>
      <c r="R44" s="310"/>
      <c r="S44" s="310"/>
      <c r="T44" s="310"/>
      <c r="U44" s="310"/>
      <c r="V44" s="310"/>
      <c r="W44" s="308"/>
      <c r="X44" s="308"/>
      <c r="Y44" s="306"/>
      <c r="Z44" s="306"/>
      <c r="AA44" s="306"/>
      <c r="AB44" s="306"/>
      <c r="AC44" s="306"/>
      <c r="AD44" s="306"/>
      <c r="AE44" s="306"/>
      <c r="AF44" s="306"/>
      <c r="AG44" s="306"/>
      <c r="AH44" s="306"/>
      <c r="AI44" s="306"/>
      <c r="AJ44" s="306"/>
      <c r="AK44" s="306"/>
      <c r="AL44" s="306"/>
      <c r="AM44" s="306"/>
      <c r="AN44" s="306"/>
      <c r="AO44" s="308"/>
      <c r="AP44" s="308"/>
      <c r="AQ44" s="308"/>
      <c r="AR44" s="308"/>
      <c r="AS44" s="308"/>
      <c r="AT44" s="308"/>
      <c r="AU44" s="308"/>
      <c r="AV44" s="308"/>
      <c r="AW44" s="308"/>
      <c r="AX44" s="308"/>
      <c r="AY44" s="308"/>
      <c r="AZ44" s="308"/>
      <c r="BA44" s="308"/>
      <c r="BB44" s="308"/>
      <c r="BC44" s="308"/>
      <c r="BD44" s="308"/>
      <c r="BE44" s="308"/>
      <c r="BF44" s="308"/>
      <c r="BG44" s="308"/>
      <c r="BH44" s="308"/>
      <c r="BI44" s="308"/>
      <c r="BJ44" s="308"/>
      <c r="BK44" s="308"/>
      <c r="BL44" s="308"/>
      <c r="BM44" s="308"/>
      <c r="BN44" s="308"/>
      <c r="BO44" s="308"/>
      <c r="BP44" s="308"/>
      <c r="BQ44" s="308"/>
      <c r="BR44" s="308"/>
      <c r="BS44" s="308"/>
      <c r="BT44" s="308"/>
      <c r="BU44" s="308"/>
      <c r="BV44" s="308"/>
      <c r="BW44" s="308"/>
      <c r="BX44" s="308"/>
      <c r="BY44" s="308"/>
      <c r="BZ44" s="308"/>
      <c r="CA44" s="308"/>
      <c r="CB44" s="308"/>
      <c r="CC44" s="308"/>
      <c r="CD44" s="308"/>
      <c r="CE44" s="308"/>
      <c r="CF44" s="308"/>
      <c r="CG44" s="308"/>
      <c r="CH44" s="308"/>
      <c r="CI44" s="308"/>
      <c r="CJ44" s="308"/>
    </row>
    <row r="45" spans="1:125" ht="15.75" thickBot="1" x14ac:dyDescent="0.3">
      <c r="A45" s="308"/>
      <c r="B45" s="309"/>
      <c r="C45" s="309"/>
      <c r="D45" s="309"/>
      <c r="E45" s="309"/>
      <c r="F45" s="360"/>
      <c r="G45" s="309"/>
      <c r="H45" s="309"/>
      <c r="I45" s="309"/>
      <c r="J45" s="309"/>
      <c r="K45" s="309"/>
      <c r="L45" s="350"/>
      <c r="M45" s="344"/>
      <c r="N45" s="309"/>
      <c r="O45" s="309"/>
      <c r="P45" s="309"/>
      <c r="Q45" s="309"/>
      <c r="R45" s="309"/>
      <c r="S45" s="310"/>
      <c r="T45" s="310"/>
      <c r="U45" s="310"/>
      <c r="V45" s="310"/>
      <c r="W45" s="308"/>
      <c r="X45" s="308"/>
      <c r="Y45" s="306"/>
      <c r="Z45" s="306"/>
      <c r="AA45" s="306"/>
      <c r="AB45" s="306"/>
      <c r="AC45" s="306"/>
      <c r="AD45" s="306"/>
      <c r="AE45" s="306"/>
      <c r="AF45" s="306"/>
      <c r="AG45" s="306"/>
      <c r="AH45" s="306"/>
      <c r="AI45" s="306"/>
      <c r="AJ45" s="306"/>
      <c r="AK45" s="306"/>
      <c r="AL45" s="306"/>
      <c r="AM45" s="306"/>
      <c r="AN45" s="306"/>
      <c r="AO45" s="308"/>
      <c r="AP45" s="308"/>
      <c r="AQ45" s="308"/>
      <c r="AR45" s="308"/>
      <c r="AS45" s="308"/>
      <c r="AT45" s="308"/>
      <c r="AU45" s="308"/>
      <c r="AV45" s="308"/>
      <c r="AW45" s="308"/>
      <c r="AX45" s="308"/>
      <c r="AY45" s="308"/>
      <c r="AZ45" s="308"/>
      <c r="BA45" s="308"/>
      <c r="BB45" s="308"/>
      <c r="BC45" s="308"/>
      <c r="BD45" s="308"/>
      <c r="BE45" s="308"/>
      <c r="BF45" s="308"/>
      <c r="BG45" s="308"/>
      <c r="BH45" s="308"/>
      <c r="BI45" s="308"/>
      <c r="BJ45" s="308"/>
      <c r="BK45" s="308"/>
      <c r="BL45" s="308"/>
      <c r="BM45" s="308"/>
      <c r="BN45" s="308"/>
      <c r="BO45" s="308"/>
      <c r="BP45" s="308"/>
      <c r="BQ45" s="308"/>
      <c r="BR45" s="308"/>
      <c r="BS45" s="308"/>
      <c r="BT45" s="308"/>
      <c r="BU45" s="308"/>
      <c r="BV45" s="308"/>
      <c r="BW45" s="308"/>
      <c r="BX45" s="308"/>
      <c r="BY45" s="308"/>
      <c r="BZ45" s="308"/>
      <c r="CA45" s="308"/>
      <c r="CB45" s="308"/>
      <c r="CC45" s="308"/>
      <c r="CD45" s="308"/>
      <c r="CE45" s="308"/>
      <c r="CF45" s="308"/>
      <c r="CG45" s="308"/>
      <c r="CH45" s="308"/>
      <c r="CI45" s="308"/>
      <c r="CJ45" s="308"/>
    </row>
    <row r="46" spans="1:125" ht="15.75" customHeight="1" thickBot="1" x14ac:dyDescent="0.3">
      <c r="A46" s="308"/>
      <c r="B46" s="1075" t="s">
        <v>17</v>
      </c>
      <c r="C46" s="349"/>
      <c r="D46" s="1077" t="s">
        <v>206</v>
      </c>
      <c r="E46" s="1079" t="s">
        <v>20</v>
      </c>
      <c r="F46" s="1081" t="s">
        <v>200</v>
      </c>
      <c r="G46" s="1082"/>
      <c r="H46" s="1082"/>
      <c r="I46" s="1082"/>
      <c r="J46" s="423"/>
      <c r="K46" s="1083" t="s">
        <v>213</v>
      </c>
      <c r="L46" s="1084"/>
      <c r="M46" s="1084"/>
      <c r="N46" s="1085"/>
      <c r="O46" s="309"/>
      <c r="P46" s="309"/>
      <c r="Q46" s="309"/>
      <c r="R46" s="309"/>
      <c r="S46" s="308"/>
      <c r="T46" s="308"/>
      <c r="U46" s="306"/>
      <c r="V46" s="306"/>
      <c r="W46" s="306"/>
      <c r="X46" s="306"/>
      <c r="Y46" s="306"/>
      <c r="Z46" s="306"/>
      <c r="AA46" s="306"/>
      <c r="AB46" s="306"/>
      <c r="AC46" s="306"/>
      <c r="AD46" s="306"/>
      <c r="AE46" s="306"/>
      <c r="AF46" s="306"/>
      <c r="AG46" s="306"/>
      <c r="AH46" s="306"/>
      <c r="AI46" s="306"/>
      <c r="AJ46" s="306"/>
      <c r="AK46" s="308"/>
      <c r="AL46" s="308"/>
      <c r="AM46" s="308"/>
      <c r="AN46" s="308"/>
      <c r="AO46" s="308"/>
      <c r="AP46" s="308"/>
      <c r="AQ46" s="308"/>
      <c r="AR46" s="308"/>
      <c r="AS46" s="308"/>
      <c r="AT46" s="308"/>
      <c r="AU46" s="308"/>
      <c r="AV46" s="308"/>
      <c r="AW46" s="308"/>
      <c r="AX46" s="308"/>
      <c r="AY46" s="308"/>
      <c r="AZ46" s="308"/>
      <c r="BA46" s="308"/>
      <c r="BB46" s="308"/>
      <c r="BC46" s="308"/>
      <c r="BD46" s="308"/>
      <c r="BE46" s="308"/>
      <c r="BF46" s="308"/>
      <c r="BG46" s="308"/>
      <c r="BH46" s="308"/>
      <c r="BI46" s="308"/>
      <c r="BJ46" s="308"/>
      <c r="BK46" s="308"/>
      <c r="BL46" s="308"/>
      <c r="BM46" s="308"/>
      <c r="BN46" s="308"/>
      <c r="BO46" s="308"/>
      <c r="BP46" s="308"/>
      <c r="BQ46" s="308"/>
      <c r="BR46" s="308"/>
      <c r="BS46" s="308"/>
      <c r="BT46" s="308"/>
      <c r="BU46" s="308"/>
      <c r="BV46" s="308"/>
      <c r="BW46" s="308"/>
      <c r="BX46" s="308"/>
      <c r="BY46" s="308"/>
      <c r="BZ46" s="308"/>
      <c r="CA46" s="308"/>
      <c r="CB46" s="308"/>
      <c r="CC46" s="308"/>
      <c r="CD46" s="308"/>
      <c r="CE46" s="308"/>
      <c r="CF46" s="308"/>
    </row>
    <row r="47" spans="1:125" ht="81.75" customHeight="1" thickBot="1" x14ac:dyDescent="0.3">
      <c r="A47" s="308"/>
      <c r="B47" s="1076"/>
      <c r="C47" s="309"/>
      <c r="D47" s="1078"/>
      <c r="E47" s="1080"/>
      <c r="F47" s="338" t="s">
        <v>212</v>
      </c>
      <c r="G47" s="339" t="s">
        <v>177</v>
      </c>
      <c r="H47" s="339"/>
      <c r="I47" s="339" t="s">
        <v>196</v>
      </c>
      <c r="J47" s="436"/>
      <c r="K47" s="334" t="s">
        <v>4</v>
      </c>
      <c r="L47" s="335" t="s">
        <v>5</v>
      </c>
      <c r="M47" s="337" t="s">
        <v>3</v>
      </c>
      <c r="N47" s="336" t="s">
        <v>15</v>
      </c>
      <c r="O47" s="309"/>
      <c r="P47" s="309"/>
      <c r="Q47" s="309"/>
      <c r="R47" s="309"/>
      <c r="S47" s="308"/>
      <c r="T47" s="308"/>
      <c r="U47" s="306"/>
      <c r="V47" s="306"/>
      <c r="W47" s="306"/>
      <c r="X47" s="306"/>
      <c r="Y47" s="306"/>
      <c r="Z47" s="306"/>
      <c r="AA47" s="306"/>
      <c r="AB47" s="306"/>
      <c r="AC47" s="306"/>
      <c r="AD47" s="306"/>
      <c r="AE47" s="306"/>
      <c r="AF47" s="306"/>
      <c r="AG47" s="306"/>
      <c r="AH47" s="306"/>
      <c r="AI47" s="306"/>
      <c r="AJ47" s="306"/>
      <c r="AK47" s="308"/>
      <c r="AL47" s="308"/>
      <c r="AM47" s="308"/>
      <c r="AN47" s="308"/>
      <c r="AO47" s="308"/>
      <c r="AP47" s="308"/>
      <c r="AQ47" s="308"/>
      <c r="AR47" s="308"/>
      <c r="AS47" s="308"/>
      <c r="AT47" s="308"/>
      <c r="AU47" s="308"/>
      <c r="AV47" s="308"/>
      <c r="AW47" s="308"/>
      <c r="AX47" s="308"/>
      <c r="AY47" s="308"/>
      <c r="AZ47" s="308"/>
      <c r="BA47" s="308"/>
      <c r="BB47" s="308"/>
      <c r="BC47" s="308"/>
      <c r="BD47" s="308"/>
      <c r="BE47" s="308"/>
      <c r="BF47" s="308"/>
      <c r="BG47" s="308"/>
      <c r="BH47" s="308"/>
      <c r="BI47" s="308"/>
      <c r="BJ47" s="308"/>
      <c r="BK47" s="308"/>
      <c r="BL47" s="308"/>
      <c r="BM47" s="308"/>
      <c r="BN47" s="308"/>
      <c r="BO47" s="308"/>
      <c r="BP47" s="308"/>
      <c r="BQ47" s="308"/>
      <c r="BR47" s="308"/>
      <c r="BS47" s="308"/>
      <c r="BT47" s="308"/>
      <c r="BU47" s="308"/>
      <c r="BV47" s="308"/>
      <c r="BW47" s="308"/>
      <c r="BX47" s="308"/>
      <c r="BY47" s="308"/>
      <c r="BZ47" s="308"/>
      <c r="CA47" s="308"/>
      <c r="CB47" s="308"/>
      <c r="CC47" s="308"/>
      <c r="CD47" s="308"/>
      <c r="CE47" s="308"/>
      <c r="CF47" s="308"/>
    </row>
    <row r="48" spans="1:125" ht="16.5" thickBot="1" x14ac:dyDescent="0.3">
      <c r="A48" s="308"/>
      <c r="B48" s="326"/>
      <c r="C48" s="309"/>
      <c r="D48" s="354" t="s">
        <v>199</v>
      </c>
      <c r="E48" s="343"/>
      <c r="F48" s="343"/>
      <c r="G48" s="343"/>
      <c r="H48" s="343"/>
      <c r="I48" s="343"/>
      <c r="J48" s="343"/>
      <c r="K48" s="340"/>
      <c r="L48" s="341"/>
      <c r="M48" s="341"/>
      <c r="N48" s="342"/>
      <c r="O48" s="304"/>
      <c r="P48" s="304"/>
      <c r="Q48" s="304"/>
      <c r="R48" s="304"/>
      <c r="S48" s="304"/>
      <c r="T48" s="304"/>
      <c r="U48" s="305"/>
      <c r="V48" s="306"/>
      <c r="W48" s="306"/>
      <c r="X48" s="306"/>
      <c r="Y48" s="306"/>
      <c r="Z48" s="306"/>
      <c r="AA48" s="306"/>
      <c r="AB48" s="306"/>
      <c r="AC48" s="306"/>
      <c r="AD48" s="306"/>
      <c r="AE48" s="306"/>
      <c r="AF48" s="306"/>
      <c r="AG48" s="306"/>
      <c r="AH48" s="306"/>
      <c r="AI48" s="306"/>
      <c r="AJ48" s="306"/>
      <c r="AK48" s="308"/>
      <c r="AL48" s="308"/>
      <c r="AM48" s="308"/>
      <c r="AN48" s="308"/>
      <c r="AO48" s="308"/>
      <c r="AP48" s="308"/>
      <c r="AQ48" s="308"/>
      <c r="AR48" s="308"/>
      <c r="AS48" s="308"/>
      <c r="AT48" s="308"/>
      <c r="AU48" s="308"/>
      <c r="AV48" s="308"/>
      <c r="AW48" s="308"/>
      <c r="AX48" s="308"/>
      <c r="AY48" s="308"/>
      <c r="AZ48" s="308"/>
      <c r="BA48" s="308"/>
      <c r="BB48" s="308"/>
      <c r="BC48" s="308"/>
      <c r="BD48" s="308"/>
      <c r="BE48" s="308"/>
      <c r="BF48" s="308"/>
      <c r="BG48" s="308"/>
      <c r="BH48" s="308"/>
      <c r="BI48" s="308"/>
      <c r="BJ48" s="308"/>
      <c r="BK48" s="308"/>
      <c r="BL48" s="308"/>
      <c r="BM48" s="308"/>
      <c r="BN48" s="308"/>
      <c r="BO48" s="308"/>
      <c r="BP48" s="308"/>
      <c r="BQ48" s="308"/>
      <c r="BR48" s="308"/>
      <c r="BS48" s="308"/>
      <c r="BT48" s="308"/>
      <c r="BU48" s="308"/>
      <c r="BV48" s="308"/>
      <c r="BW48" s="308"/>
      <c r="BX48" s="308"/>
      <c r="BY48" s="308"/>
      <c r="BZ48" s="308"/>
      <c r="CA48" s="308"/>
      <c r="CB48" s="308"/>
      <c r="CC48" s="308"/>
      <c r="CD48" s="308"/>
      <c r="CE48" s="308"/>
      <c r="CF48" s="308"/>
    </row>
    <row r="49" spans="1:88" ht="16.5" thickBot="1" x14ac:dyDescent="0.3">
      <c r="A49" s="308"/>
      <c r="B49" s="397">
        <v>1</v>
      </c>
      <c r="C49" s="309"/>
      <c r="D49" s="354" t="s">
        <v>207</v>
      </c>
      <c r="E49" s="333"/>
      <c r="F49" s="333"/>
      <c r="G49" s="333"/>
      <c r="H49" s="333"/>
      <c r="I49" s="333"/>
      <c r="J49" s="333"/>
      <c r="K49" s="340"/>
      <c r="L49" s="341"/>
      <c r="M49" s="341"/>
      <c r="N49" s="342"/>
      <c r="O49" s="309"/>
      <c r="P49" s="309"/>
      <c r="Q49" s="309"/>
      <c r="R49" s="309"/>
      <c r="S49" s="308"/>
      <c r="T49" s="308"/>
      <c r="U49" s="306"/>
      <c r="V49" s="306"/>
      <c r="W49" s="306"/>
      <c r="X49" s="306"/>
      <c r="Y49" s="306"/>
      <c r="Z49" s="306"/>
      <c r="AA49" s="306"/>
      <c r="AB49" s="306"/>
      <c r="AC49" s="306"/>
      <c r="AD49" s="306"/>
      <c r="AE49" s="306"/>
      <c r="AF49" s="306"/>
      <c r="AG49" s="306"/>
      <c r="AH49" s="306"/>
      <c r="AI49" s="306"/>
      <c r="AJ49" s="306"/>
      <c r="AK49" s="308"/>
      <c r="AL49" s="308"/>
      <c r="AM49" s="308"/>
      <c r="AN49" s="308"/>
      <c r="AO49" s="308"/>
      <c r="AP49" s="308"/>
      <c r="AQ49" s="308"/>
      <c r="AR49" s="308"/>
      <c r="AS49" s="308"/>
      <c r="AT49" s="308"/>
      <c r="AU49" s="308"/>
      <c r="AV49" s="308"/>
      <c r="AW49" s="308"/>
      <c r="AX49" s="308"/>
      <c r="AY49" s="308"/>
      <c r="AZ49" s="308"/>
      <c r="BA49" s="308"/>
      <c r="BB49" s="308"/>
      <c r="BC49" s="308"/>
      <c r="BD49" s="308"/>
      <c r="BE49" s="308"/>
      <c r="BF49" s="308"/>
      <c r="BG49" s="308"/>
      <c r="BH49" s="308"/>
      <c r="BI49" s="308"/>
      <c r="BJ49" s="308"/>
      <c r="BK49" s="308"/>
      <c r="BL49" s="308"/>
      <c r="BM49" s="308"/>
      <c r="BN49" s="308"/>
      <c r="BO49" s="308"/>
      <c r="BP49" s="308"/>
      <c r="BQ49" s="308"/>
      <c r="BR49" s="308"/>
      <c r="BS49" s="308"/>
      <c r="BT49" s="308"/>
      <c r="BU49" s="308"/>
      <c r="BV49" s="308"/>
      <c r="BW49" s="308"/>
      <c r="BX49" s="308"/>
      <c r="BY49" s="308"/>
      <c r="BZ49" s="308"/>
      <c r="CA49" s="308"/>
      <c r="CB49" s="308"/>
      <c r="CC49" s="308"/>
      <c r="CD49" s="308"/>
      <c r="CE49" s="308"/>
      <c r="CF49" s="308"/>
    </row>
    <row r="50" spans="1:88" ht="16.5" thickBot="1" x14ac:dyDescent="0.3">
      <c r="A50" s="308"/>
      <c r="B50" s="397">
        <v>2</v>
      </c>
      <c r="C50" s="309"/>
      <c r="D50" s="354" t="s">
        <v>208</v>
      </c>
      <c r="E50" s="333"/>
      <c r="F50" s="333"/>
      <c r="G50" s="333"/>
      <c r="H50" s="333"/>
      <c r="I50" s="333"/>
      <c r="J50" s="333"/>
      <c r="K50" s="340"/>
      <c r="L50" s="341"/>
      <c r="M50" s="341"/>
      <c r="N50" s="342"/>
      <c r="O50" s="309"/>
      <c r="P50" s="309"/>
      <c r="Q50" s="309"/>
      <c r="R50" s="309"/>
      <c r="S50" s="308"/>
      <c r="T50" s="308"/>
      <c r="U50" s="306"/>
      <c r="V50" s="306"/>
      <c r="W50" s="306"/>
      <c r="X50" s="306"/>
      <c r="Y50" s="306"/>
      <c r="Z50" s="306"/>
      <c r="AA50" s="306"/>
      <c r="AB50" s="306"/>
      <c r="AC50" s="306"/>
      <c r="AD50" s="306"/>
      <c r="AE50" s="306"/>
      <c r="AF50" s="306"/>
      <c r="AG50" s="306"/>
      <c r="AH50" s="306"/>
      <c r="AI50" s="306"/>
      <c r="AJ50" s="306"/>
      <c r="AK50" s="308"/>
      <c r="AL50" s="308"/>
      <c r="AM50" s="308"/>
      <c r="AN50" s="308"/>
      <c r="AO50" s="308"/>
      <c r="AP50" s="308"/>
      <c r="AQ50" s="308"/>
      <c r="AR50" s="308"/>
      <c r="AS50" s="308"/>
      <c r="AT50" s="308"/>
      <c r="AU50" s="308"/>
      <c r="AV50" s="308"/>
      <c r="AW50" s="308"/>
      <c r="AX50" s="308"/>
      <c r="AY50" s="308"/>
      <c r="AZ50" s="308"/>
      <c r="BA50" s="308"/>
      <c r="BB50" s="308"/>
      <c r="BC50" s="308"/>
      <c r="BD50" s="308"/>
      <c r="BE50" s="308"/>
      <c r="BF50" s="308"/>
      <c r="BG50" s="308"/>
      <c r="BH50" s="308"/>
      <c r="BI50" s="308"/>
      <c r="BJ50" s="308"/>
      <c r="BK50" s="308"/>
      <c r="BL50" s="308"/>
      <c r="BM50" s="308"/>
      <c r="BN50" s="308"/>
      <c r="BO50" s="308"/>
      <c r="BP50" s="308"/>
      <c r="BQ50" s="308"/>
      <c r="BR50" s="308"/>
      <c r="BS50" s="308"/>
      <c r="BT50" s="308"/>
      <c r="BU50" s="308"/>
      <c r="BV50" s="308"/>
      <c r="BW50" s="308"/>
      <c r="BX50" s="308"/>
      <c r="BY50" s="308"/>
      <c r="BZ50" s="308"/>
      <c r="CA50" s="308"/>
      <c r="CB50" s="308"/>
      <c r="CC50" s="308"/>
      <c r="CD50" s="308"/>
      <c r="CE50" s="308"/>
      <c r="CF50" s="308"/>
    </row>
    <row r="51" spans="1:88" ht="16.5" thickBot="1" x14ac:dyDescent="0.3">
      <c r="A51" s="308"/>
      <c r="B51" s="397">
        <v>3</v>
      </c>
      <c r="C51" s="309"/>
      <c r="D51" s="354" t="s">
        <v>209</v>
      </c>
      <c r="E51" s="333"/>
      <c r="F51" s="333"/>
      <c r="G51" s="333"/>
      <c r="H51" s="333"/>
      <c r="I51" s="333"/>
      <c r="J51" s="333"/>
      <c r="K51" s="340"/>
      <c r="L51" s="341"/>
      <c r="M51" s="341"/>
      <c r="N51" s="342"/>
      <c r="O51" s="309"/>
      <c r="P51" s="309"/>
      <c r="Q51" s="309"/>
      <c r="R51" s="309"/>
      <c r="S51" s="308"/>
      <c r="T51" s="308"/>
      <c r="U51" s="306"/>
      <c r="V51" s="306"/>
      <c r="W51" s="306"/>
      <c r="X51" s="306"/>
      <c r="Y51" s="306"/>
      <c r="Z51" s="306"/>
      <c r="AA51" s="306"/>
      <c r="AB51" s="306"/>
      <c r="AC51" s="306"/>
      <c r="AD51" s="306"/>
      <c r="AE51" s="306"/>
      <c r="AF51" s="306"/>
      <c r="AG51" s="306"/>
      <c r="AH51" s="306"/>
      <c r="AI51" s="306"/>
      <c r="AJ51" s="306"/>
      <c r="AK51" s="308"/>
      <c r="AL51" s="308"/>
      <c r="AM51" s="308"/>
      <c r="AN51" s="308"/>
      <c r="AO51" s="308"/>
      <c r="AP51" s="308"/>
      <c r="AQ51" s="308"/>
      <c r="AR51" s="308"/>
      <c r="AS51" s="308"/>
      <c r="AT51" s="308"/>
      <c r="AU51" s="308"/>
      <c r="AV51" s="308"/>
      <c r="AW51" s="308"/>
      <c r="AX51" s="308"/>
      <c r="AY51" s="308"/>
      <c r="AZ51" s="308"/>
      <c r="BA51" s="308"/>
      <c r="BB51" s="308"/>
      <c r="BC51" s="308"/>
      <c r="BD51" s="308"/>
      <c r="BE51" s="308"/>
      <c r="BF51" s="308"/>
      <c r="BG51" s="308"/>
      <c r="BH51" s="308"/>
      <c r="BI51" s="308"/>
      <c r="BJ51" s="308"/>
      <c r="BK51" s="308"/>
      <c r="BL51" s="308"/>
      <c r="BM51" s="308"/>
      <c r="BN51" s="308"/>
      <c r="BO51" s="308"/>
      <c r="BP51" s="308"/>
      <c r="BQ51" s="308"/>
      <c r="BR51" s="308"/>
      <c r="BS51" s="308"/>
      <c r="BT51" s="308"/>
      <c r="BU51" s="308"/>
      <c r="BV51" s="308"/>
      <c r="BW51" s="308"/>
      <c r="BX51" s="308"/>
      <c r="BY51" s="308"/>
      <c r="BZ51" s="308"/>
      <c r="CA51" s="308"/>
      <c r="CB51" s="308"/>
      <c r="CC51" s="308"/>
      <c r="CD51" s="308"/>
      <c r="CE51" s="308"/>
      <c r="CF51" s="308"/>
    </row>
    <row r="52" spans="1:88" ht="16.5" thickBot="1" x14ac:dyDescent="0.3">
      <c r="A52" s="308"/>
      <c r="B52" s="397">
        <v>4</v>
      </c>
      <c r="C52" s="309"/>
      <c r="D52" s="354" t="s">
        <v>210</v>
      </c>
      <c r="E52" s="333"/>
      <c r="F52" s="333"/>
      <c r="G52" s="333"/>
      <c r="H52" s="333"/>
      <c r="I52" s="333"/>
      <c r="J52" s="333"/>
      <c r="K52" s="340"/>
      <c r="L52" s="341"/>
      <c r="M52" s="341"/>
      <c r="N52" s="342"/>
      <c r="O52" s="309"/>
      <c r="P52" s="309"/>
      <c r="Q52" s="309"/>
      <c r="R52" s="309"/>
      <c r="S52" s="308"/>
      <c r="T52" s="308"/>
      <c r="U52" s="306"/>
      <c r="V52" s="306"/>
      <c r="W52" s="306"/>
      <c r="X52" s="306"/>
      <c r="Y52" s="306"/>
      <c r="Z52" s="306"/>
      <c r="AA52" s="306"/>
      <c r="AB52" s="306"/>
      <c r="AC52" s="306"/>
      <c r="AD52" s="306"/>
      <c r="AE52" s="306"/>
      <c r="AF52" s="306"/>
      <c r="AG52" s="306"/>
      <c r="AH52" s="306"/>
      <c r="AI52" s="306"/>
      <c r="AJ52" s="306"/>
      <c r="AK52" s="308"/>
      <c r="AL52" s="308"/>
      <c r="AM52" s="308"/>
      <c r="AN52" s="308"/>
      <c r="AO52" s="308"/>
      <c r="AP52" s="308"/>
      <c r="AQ52" s="308"/>
      <c r="AR52" s="308"/>
      <c r="AS52" s="308"/>
      <c r="AT52" s="308"/>
      <c r="AU52" s="308"/>
      <c r="AV52" s="308"/>
      <c r="AW52" s="308"/>
      <c r="AX52" s="308"/>
      <c r="AY52" s="308"/>
      <c r="AZ52" s="308"/>
      <c r="BA52" s="308"/>
      <c r="BB52" s="308"/>
      <c r="BC52" s="308"/>
      <c r="BD52" s="308"/>
      <c r="BE52" s="308"/>
      <c r="BF52" s="308"/>
      <c r="BG52" s="308"/>
      <c r="BH52" s="308"/>
      <c r="BI52" s="308"/>
      <c r="BJ52" s="308"/>
      <c r="BK52" s="308"/>
      <c r="BL52" s="308"/>
      <c r="BM52" s="308"/>
      <c r="BN52" s="308"/>
      <c r="BO52" s="308"/>
      <c r="BP52" s="308"/>
      <c r="BQ52" s="308"/>
      <c r="BR52" s="308"/>
      <c r="BS52" s="308"/>
      <c r="BT52" s="308"/>
      <c r="BU52" s="308"/>
      <c r="BV52" s="308"/>
      <c r="BW52" s="308"/>
      <c r="BX52" s="308"/>
      <c r="BY52" s="308"/>
      <c r="BZ52" s="308"/>
      <c r="CA52" s="308"/>
      <c r="CB52" s="308"/>
      <c r="CC52" s="308"/>
      <c r="CD52" s="308"/>
      <c r="CE52" s="308"/>
      <c r="CF52" s="308"/>
    </row>
    <row r="53" spans="1:88" ht="16.5" thickBot="1" x14ac:dyDescent="0.3">
      <c r="A53" s="308"/>
      <c r="B53" s="397">
        <v>5</v>
      </c>
      <c r="C53" s="309"/>
      <c r="D53" s="354" t="s">
        <v>211</v>
      </c>
      <c r="E53" s="333" t="e">
        <f>E19+E39+#REF!+#REF!+#REF!+#REF!+#REF!+#REF!+#REF!+#REF!</f>
        <v>#REF!</v>
      </c>
      <c r="F53" s="333" t="e">
        <f>F19+F39+#REF!+#REF!+#REF!+#REF!+#REF!+#REF!+#REF!+#REF!</f>
        <v>#REF!</v>
      </c>
      <c r="G53" s="333" t="e">
        <f>G19+G39+#REF!+#REF!+#REF!+#REF!+#REF!+#REF!+#REF!+#REF!</f>
        <v>#REF!</v>
      </c>
      <c r="H53" s="333"/>
      <c r="I53" s="333" t="e">
        <f>I19+I39+#REF!+#REF!+#REF!+#REF!+#REF!+#REF!+#REF!+#REF!</f>
        <v>#REF!</v>
      </c>
      <c r="J53" s="333"/>
      <c r="K53" s="340" t="e">
        <f>+F53/E53</f>
        <v>#REF!</v>
      </c>
      <c r="L53" s="341" t="e">
        <f>+G53/E53</f>
        <v>#REF!</v>
      </c>
      <c r="M53" s="341" t="e">
        <f>+I53/E53+#REF!/E53</f>
        <v>#REF!</v>
      </c>
      <c r="N53" s="342" t="e">
        <f>+SUM(K53:M53)</f>
        <v>#REF!</v>
      </c>
      <c r="O53" s="309"/>
      <c r="P53" s="309"/>
      <c r="Q53" s="309"/>
      <c r="R53" s="309"/>
      <c r="S53" s="308"/>
      <c r="T53" s="308"/>
      <c r="U53" s="306"/>
      <c r="V53" s="306"/>
      <c r="W53" s="306"/>
      <c r="X53" s="306"/>
      <c r="Y53" s="306"/>
      <c r="Z53" s="306"/>
      <c r="AA53" s="306"/>
      <c r="AB53" s="306"/>
      <c r="AC53" s="306"/>
      <c r="AD53" s="306"/>
      <c r="AE53" s="306"/>
      <c r="AF53" s="306"/>
      <c r="AG53" s="306"/>
      <c r="AH53" s="306"/>
      <c r="AI53" s="306"/>
      <c r="AJ53" s="306"/>
      <c r="AK53" s="308"/>
      <c r="AL53" s="308"/>
      <c r="AM53" s="308"/>
      <c r="AN53" s="308"/>
      <c r="AO53" s="308"/>
      <c r="AP53" s="308"/>
      <c r="AQ53" s="308"/>
      <c r="AR53" s="308"/>
      <c r="AS53" s="308"/>
      <c r="AT53" s="308"/>
      <c r="AU53" s="308"/>
      <c r="AV53" s="308"/>
      <c r="AW53" s="308"/>
      <c r="AX53" s="308"/>
      <c r="AY53" s="308"/>
      <c r="AZ53" s="308"/>
      <c r="BA53" s="308"/>
      <c r="BB53" s="308"/>
      <c r="BC53" s="308"/>
      <c r="BD53" s="308"/>
      <c r="BE53" s="308"/>
      <c r="BF53" s="308"/>
      <c r="BG53" s="308"/>
      <c r="BH53" s="308"/>
      <c r="BI53" s="308"/>
      <c r="BJ53" s="308"/>
      <c r="BK53" s="308"/>
      <c r="BL53" s="308"/>
      <c r="BM53" s="308"/>
      <c r="BN53" s="308"/>
      <c r="BO53" s="308"/>
      <c r="BP53" s="308"/>
      <c r="BQ53" s="308"/>
      <c r="BR53" s="308"/>
      <c r="BS53" s="308"/>
      <c r="BT53" s="308"/>
      <c r="BU53" s="308"/>
      <c r="BV53" s="308"/>
      <c r="BW53" s="308"/>
      <c r="BX53" s="308"/>
      <c r="BY53" s="308"/>
      <c r="BZ53" s="308"/>
      <c r="CA53" s="308"/>
      <c r="CB53" s="308"/>
      <c r="CC53" s="308"/>
      <c r="CD53" s="308"/>
      <c r="CE53" s="308"/>
      <c r="CF53" s="308"/>
    </row>
    <row r="54" spans="1:88" x14ac:dyDescent="0.25">
      <c r="A54" s="308"/>
      <c r="B54" s="309"/>
      <c r="C54" s="309"/>
      <c r="D54" s="309"/>
      <c r="E54" s="309"/>
      <c r="F54" s="309"/>
      <c r="G54" s="309"/>
      <c r="H54" s="309"/>
      <c r="I54" s="309"/>
      <c r="J54" s="309"/>
      <c r="K54" s="350"/>
      <c r="L54" s="309"/>
      <c r="M54" s="309"/>
      <c r="N54" s="309"/>
      <c r="O54" s="309"/>
      <c r="P54" s="309"/>
      <c r="Q54" s="309"/>
      <c r="R54" s="309"/>
      <c r="S54" s="309"/>
      <c r="T54" s="309"/>
      <c r="U54" s="309"/>
      <c r="V54" s="309"/>
      <c r="W54" s="308"/>
      <c r="X54" s="308"/>
      <c r="Y54" s="306"/>
      <c r="Z54" s="306"/>
      <c r="AA54" s="306"/>
      <c r="AB54" s="306"/>
      <c r="AC54" s="306"/>
      <c r="AD54" s="306"/>
      <c r="AE54" s="306"/>
      <c r="AF54" s="306"/>
      <c r="AG54" s="306"/>
      <c r="AH54" s="306"/>
      <c r="AI54" s="306"/>
      <c r="AJ54" s="306"/>
      <c r="AK54" s="306"/>
      <c r="AL54" s="306"/>
      <c r="AM54" s="306"/>
      <c r="AN54" s="306"/>
      <c r="AO54" s="308"/>
      <c r="AP54" s="308"/>
      <c r="AQ54" s="308"/>
      <c r="AR54" s="308"/>
      <c r="AS54" s="308"/>
      <c r="AT54" s="308"/>
      <c r="AU54" s="308"/>
      <c r="AV54" s="308"/>
      <c r="AW54" s="308"/>
      <c r="AX54" s="308"/>
      <c r="AY54" s="308"/>
      <c r="AZ54" s="308"/>
      <c r="BA54" s="308"/>
      <c r="BB54" s="308"/>
      <c r="BC54" s="308"/>
      <c r="BD54" s="308"/>
      <c r="BE54" s="308"/>
      <c r="BF54" s="308"/>
      <c r="BG54" s="308"/>
      <c r="BH54" s="308"/>
      <c r="BI54" s="308"/>
      <c r="BJ54" s="308"/>
      <c r="BK54" s="308"/>
      <c r="BL54" s="308"/>
      <c r="BM54" s="308"/>
      <c r="BN54" s="308"/>
      <c r="BO54" s="308"/>
      <c r="BP54" s="308"/>
      <c r="BQ54" s="308"/>
      <c r="BR54" s="308"/>
      <c r="BS54" s="308"/>
      <c r="BT54" s="308"/>
      <c r="BU54" s="308"/>
      <c r="BV54" s="308"/>
      <c r="BW54" s="308"/>
      <c r="BX54" s="308"/>
      <c r="BY54" s="308"/>
      <c r="BZ54" s="308"/>
      <c r="CA54" s="308"/>
      <c r="CB54" s="308"/>
      <c r="CC54" s="308"/>
      <c r="CD54" s="308"/>
      <c r="CE54" s="308"/>
      <c r="CF54" s="308"/>
      <c r="CG54" s="308"/>
      <c r="CH54" s="308"/>
      <c r="CI54" s="308"/>
      <c r="CJ54" s="308"/>
    </row>
    <row r="55" spans="1:88" x14ac:dyDescent="0.25">
      <c r="A55" s="308"/>
      <c r="B55" s="309"/>
      <c r="C55" s="309"/>
      <c r="D55" s="309"/>
      <c r="E55" s="309"/>
      <c r="F55" s="309"/>
      <c r="G55" s="309"/>
      <c r="H55" s="309"/>
      <c r="I55" s="309"/>
      <c r="J55" s="309"/>
      <c r="K55" s="350"/>
      <c r="L55" s="309"/>
      <c r="M55" s="309"/>
      <c r="N55" s="309"/>
      <c r="O55" s="309"/>
      <c r="P55" s="309"/>
      <c r="Q55" s="309"/>
      <c r="R55" s="309"/>
      <c r="S55" s="309"/>
      <c r="T55" s="309"/>
      <c r="U55" s="309"/>
      <c r="V55" s="309"/>
      <c r="W55" s="308"/>
      <c r="X55" s="308"/>
      <c r="Y55" s="306"/>
      <c r="Z55" s="306"/>
      <c r="AA55" s="306"/>
      <c r="AB55" s="306"/>
      <c r="AC55" s="306"/>
      <c r="AD55" s="306"/>
      <c r="AE55" s="306"/>
      <c r="AF55" s="306"/>
      <c r="AG55" s="306"/>
      <c r="AH55" s="306"/>
      <c r="AI55" s="306"/>
      <c r="AJ55" s="306"/>
      <c r="AK55" s="306"/>
      <c r="AL55" s="306"/>
      <c r="AM55" s="306"/>
      <c r="AN55" s="306"/>
      <c r="AO55" s="308"/>
      <c r="AP55" s="308"/>
      <c r="AQ55" s="308"/>
      <c r="AR55" s="308"/>
      <c r="AS55" s="308"/>
      <c r="AT55" s="308"/>
      <c r="AU55" s="308"/>
      <c r="AV55" s="308"/>
      <c r="AW55" s="308"/>
      <c r="AX55" s="308"/>
      <c r="AY55" s="308"/>
      <c r="AZ55" s="308"/>
      <c r="BA55" s="308"/>
      <c r="BB55" s="308"/>
      <c r="BC55" s="308"/>
      <c r="BD55" s="308"/>
      <c r="BE55" s="308"/>
      <c r="BF55" s="308"/>
      <c r="BG55" s="308"/>
      <c r="BH55" s="308"/>
      <c r="BI55" s="308"/>
      <c r="BJ55" s="308"/>
      <c r="BK55" s="308"/>
      <c r="BL55" s="308"/>
      <c r="BM55" s="308"/>
      <c r="BN55" s="308"/>
      <c r="BO55" s="308"/>
      <c r="BP55" s="308"/>
      <c r="BQ55" s="308"/>
      <c r="BR55" s="308"/>
      <c r="BS55" s="308"/>
      <c r="BT55" s="308"/>
      <c r="BU55" s="308"/>
      <c r="BV55" s="308"/>
      <c r="BW55" s="308"/>
      <c r="BX55" s="308"/>
      <c r="BY55" s="308"/>
      <c r="BZ55" s="308"/>
      <c r="CA55" s="308"/>
      <c r="CB55" s="308"/>
      <c r="CC55" s="308"/>
      <c r="CD55" s="308"/>
      <c r="CE55" s="308"/>
      <c r="CF55" s="308"/>
      <c r="CG55" s="308"/>
      <c r="CH55" s="308"/>
      <c r="CI55" s="308"/>
      <c r="CJ55" s="308"/>
    </row>
    <row r="56" spans="1:88" x14ac:dyDescent="0.25">
      <c r="A56" s="308"/>
      <c r="B56" s="309"/>
      <c r="C56" s="309"/>
      <c r="D56" s="309"/>
      <c r="E56" s="309"/>
      <c r="F56" s="350"/>
      <c r="G56" s="350"/>
      <c r="H56" s="350"/>
      <c r="I56" s="350"/>
      <c r="J56" s="350"/>
      <c r="K56" s="350"/>
      <c r="L56" s="350"/>
      <c r="M56" s="350"/>
      <c r="N56" s="350"/>
      <c r="O56" s="309"/>
      <c r="P56" s="309"/>
      <c r="Q56" s="309"/>
      <c r="R56" s="309"/>
      <c r="S56" s="309"/>
      <c r="T56" s="309"/>
      <c r="U56" s="309"/>
      <c r="V56" s="309"/>
      <c r="W56" s="308"/>
      <c r="X56" s="308"/>
      <c r="Y56" s="306"/>
      <c r="Z56" s="306"/>
      <c r="AA56" s="306"/>
      <c r="AB56" s="306"/>
      <c r="AC56" s="306"/>
      <c r="AD56" s="306"/>
      <c r="AE56" s="306"/>
      <c r="AF56" s="306"/>
      <c r="AG56" s="306"/>
      <c r="AH56" s="306"/>
      <c r="AI56" s="306"/>
      <c r="AJ56" s="306"/>
      <c r="AK56" s="306"/>
      <c r="AL56" s="306"/>
      <c r="AM56" s="306"/>
      <c r="AN56" s="306"/>
      <c r="AO56" s="308"/>
      <c r="AP56" s="308"/>
      <c r="AQ56" s="308"/>
      <c r="AR56" s="308"/>
      <c r="AS56" s="308"/>
      <c r="AT56" s="308"/>
      <c r="AU56" s="308"/>
      <c r="AV56" s="308"/>
      <c r="AW56" s="308"/>
      <c r="AX56" s="308"/>
      <c r="AY56" s="308"/>
      <c r="AZ56" s="308"/>
      <c r="BA56" s="308"/>
      <c r="BB56" s="308"/>
      <c r="BC56" s="308"/>
      <c r="BD56" s="308"/>
      <c r="BE56" s="308"/>
      <c r="BF56" s="308"/>
      <c r="BG56" s="308"/>
      <c r="BH56" s="308"/>
      <c r="BI56" s="308"/>
      <c r="BJ56" s="308"/>
      <c r="BK56" s="308"/>
      <c r="BL56" s="308"/>
      <c r="BM56" s="308"/>
      <c r="BN56" s="308"/>
      <c r="BO56" s="308"/>
      <c r="BP56" s="308"/>
      <c r="BQ56" s="308"/>
      <c r="BR56" s="308"/>
      <c r="BS56" s="308"/>
      <c r="BT56" s="308"/>
      <c r="BU56" s="308"/>
      <c r="BV56" s="308"/>
      <c r="BW56" s="308"/>
      <c r="BX56" s="308"/>
      <c r="BY56" s="308"/>
      <c r="BZ56" s="308"/>
      <c r="CA56" s="308"/>
      <c r="CB56" s="308"/>
      <c r="CC56" s="308"/>
      <c r="CD56" s="308"/>
      <c r="CE56" s="308"/>
      <c r="CF56" s="308"/>
      <c r="CG56" s="308"/>
      <c r="CH56" s="308"/>
      <c r="CI56" s="308"/>
      <c r="CJ56" s="308"/>
    </row>
    <row r="57" spans="1:88" x14ac:dyDescent="0.25">
      <c r="A57" s="308"/>
      <c r="B57" s="309"/>
      <c r="C57" s="309"/>
      <c r="D57" s="309"/>
      <c r="E57" s="309"/>
      <c r="F57" s="350"/>
      <c r="G57" s="350"/>
      <c r="H57" s="350"/>
      <c r="I57" s="309"/>
      <c r="J57" s="309"/>
      <c r="K57" s="309"/>
      <c r="L57" s="309"/>
      <c r="M57" s="309"/>
      <c r="N57" s="309"/>
      <c r="O57" s="309"/>
      <c r="P57" s="309"/>
      <c r="Q57" s="309"/>
      <c r="R57" s="309"/>
      <c r="S57" s="309"/>
      <c r="T57" s="309"/>
      <c r="U57" s="309"/>
      <c r="V57" s="309"/>
      <c r="W57" s="308"/>
      <c r="X57" s="308"/>
      <c r="Y57" s="306"/>
      <c r="Z57" s="306"/>
      <c r="AA57" s="306"/>
      <c r="AB57" s="306"/>
      <c r="AC57" s="306"/>
      <c r="AD57" s="306"/>
      <c r="AE57" s="306"/>
      <c r="AF57" s="306"/>
      <c r="AG57" s="306"/>
      <c r="AH57" s="306"/>
      <c r="AI57" s="306"/>
      <c r="AJ57" s="306"/>
      <c r="AK57" s="306"/>
      <c r="AL57" s="306"/>
      <c r="AM57" s="306"/>
      <c r="AN57" s="306"/>
      <c r="AO57" s="308"/>
      <c r="AP57" s="308"/>
      <c r="AQ57" s="308"/>
      <c r="AR57" s="308"/>
      <c r="AS57" s="308"/>
      <c r="AT57" s="308"/>
      <c r="AU57" s="308"/>
      <c r="AV57" s="308"/>
      <c r="AW57" s="308"/>
      <c r="AX57" s="308"/>
      <c r="AY57" s="308"/>
      <c r="AZ57" s="308"/>
      <c r="BA57" s="308"/>
      <c r="BB57" s="308"/>
      <c r="BC57" s="308"/>
      <c r="BD57" s="308"/>
      <c r="BE57" s="308"/>
      <c r="BF57" s="308"/>
      <c r="BG57" s="308"/>
      <c r="BH57" s="308"/>
      <c r="BI57" s="308"/>
      <c r="BJ57" s="308"/>
      <c r="BK57" s="308"/>
      <c r="BL57" s="308"/>
      <c r="BM57" s="308"/>
      <c r="BN57" s="308"/>
      <c r="BO57" s="308"/>
      <c r="BP57" s="308"/>
      <c r="BQ57" s="308"/>
      <c r="BR57" s="308"/>
      <c r="BS57" s="308"/>
      <c r="BT57" s="308"/>
      <c r="BU57" s="308"/>
      <c r="BV57" s="308"/>
      <c r="BW57" s="308"/>
      <c r="BX57" s="308"/>
      <c r="BY57" s="308"/>
      <c r="BZ57" s="308"/>
      <c r="CA57" s="308"/>
      <c r="CB57" s="308"/>
      <c r="CC57" s="308"/>
      <c r="CD57" s="308"/>
      <c r="CE57" s="308"/>
      <c r="CF57" s="308"/>
      <c r="CG57" s="308"/>
      <c r="CH57" s="308"/>
      <c r="CI57" s="308"/>
      <c r="CJ57" s="308"/>
    </row>
    <row r="58" spans="1:88" x14ac:dyDescent="0.25">
      <c r="A58" s="308"/>
      <c r="B58" s="309"/>
      <c r="C58" s="309"/>
      <c r="D58" s="309"/>
      <c r="E58" s="309"/>
      <c r="F58" s="309"/>
      <c r="G58" s="309"/>
      <c r="H58" s="309"/>
      <c r="I58" s="309"/>
      <c r="J58" s="309"/>
      <c r="K58" s="309"/>
      <c r="L58" s="309"/>
      <c r="M58" s="309"/>
      <c r="N58" s="309"/>
      <c r="O58" s="309"/>
      <c r="P58" s="309"/>
      <c r="Q58" s="309"/>
      <c r="R58" s="309"/>
      <c r="S58" s="309"/>
      <c r="T58" s="309"/>
      <c r="U58" s="309"/>
      <c r="V58" s="309"/>
      <c r="W58" s="308"/>
      <c r="X58" s="308"/>
      <c r="Y58" s="306"/>
      <c r="Z58" s="306"/>
      <c r="AA58" s="306"/>
      <c r="AB58" s="306"/>
      <c r="AC58" s="306"/>
      <c r="AD58" s="306"/>
      <c r="AE58" s="306"/>
      <c r="AF58" s="306"/>
      <c r="AG58" s="306"/>
      <c r="AH58" s="306"/>
      <c r="AI58" s="306"/>
      <c r="AJ58" s="306"/>
      <c r="AK58" s="306"/>
      <c r="AL58" s="306"/>
      <c r="AM58" s="306"/>
      <c r="AN58" s="306"/>
      <c r="AO58" s="308"/>
      <c r="AP58" s="308"/>
      <c r="AQ58" s="308"/>
      <c r="AR58" s="308"/>
      <c r="AS58" s="308"/>
      <c r="AT58" s="308"/>
      <c r="AU58" s="308"/>
      <c r="AV58" s="308"/>
      <c r="AW58" s="308"/>
      <c r="AX58" s="308"/>
      <c r="AY58" s="308"/>
      <c r="AZ58" s="308"/>
      <c r="BA58" s="308"/>
      <c r="BB58" s="308"/>
      <c r="BC58" s="308"/>
      <c r="BD58" s="308"/>
      <c r="BE58" s="308"/>
      <c r="BF58" s="308"/>
      <c r="BG58" s="308"/>
      <c r="BH58" s="308"/>
      <c r="BI58" s="308"/>
      <c r="BJ58" s="308"/>
      <c r="BK58" s="308"/>
      <c r="BL58" s="308"/>
      <c r="BM58" s="308"/>
      <c r="BN58" s="308"/>
      <c r="BO58" s="308"/>
      <c r="BP58" s="308"/>
      <c r="BQ58" s="308"/>
      <c r="BR58" s="308"/>
      <c r="BS58" s="308"/>
      <c r="BT58" s="308"/>
      <c r="BU58" s="308"/>
      <c r="BV58" s="308"/>
      <c r="BW58" s="308"/>
      <c r="BX58" s="308"/>
      <c r="BY58" s="308"/>
      <c r="BZ58" s="308"/>
      <c r="CA58" s="308"/>
      <c r="CB58" s="308"/>
      <c r="CC58" s="308"/>
      <c r="CD58" s="308"/>
      <c r="CE58" s="308"/>
      <c r="CF58" s="308"/>
      <c r="CG58" s="308"/>
      <c r="CH58" s="308"/>
      <c r="CI58" s="308"/>
      <c r="CJ58" s="308"/>
    </row>
    <row r="59" spans="1:88" x14ac:dyDescent="0.25">
      <c r="A59" s="308"/>
      <c r="B59" s="309"/>
      <c r="C59" s="309"/>
      <c r="D59" s="309"/>
      <c r="E59" s="309"/>
      <c r="F59" s="360"/>
      <c r="G59" s="309"/>
      <c r="H59" s="309"/>
      <c r="I59" s="309"/>
      <c r="J59" s="309"/>
      <c r="K59" s="309"/>
      <c r="L59" s="309"/>
      <c r="M59" s="309"/>
      <c r="N59" s="309"/>
      <c r="O59" s="309"/>
      <c r="P59" s="309"/>
      <c r="Q59" s="309"/>
      <c r="R59" s="309"/>
      <c r="S59" s="309"/>
      <c r="T59" s="309"/>
      <c r="U59" s="309"/>
      <c r="V59" s="309"/>
      <c r="W59" s="308"/>
      <c r="X59" s="308"/>
      <c r="Y59" s="306"/>
      <c r="Z59" s="306"/>
      <c r="AA59" s="306"/>
      <c r="AB59" s="306"/>
      <c r="AC59" s="306"/>
      <c r="AD59" s="306"/>
      <c r="AE59" s="306"/>
      <c r="AF59" s="306"/>
      <c r="AG59" s="306"/>
      <c r="AH59" s="306"/>
      <c r="AI59" s="306"/>
      <c r="AJ59" s="306"/>
      <c r="AK59" s="306"/>
      <c r="AL59" s="306"/>
      <c r="AM59" s="306"/>
      <c r="AN59" s="306"/>
      <c r="AO59" s="308"/>
      <c r="AP59" s="308"/>
      <c r="AQ59" s="308"/>
      <c r="AR59" s="308"/>
      <c r="AS59" s="308"/>
      <c r="AT59" s="308"/>
      <c r="AU59" s="308"/>
      <c r="AV59" s="308"/>
      <c r="AW59" s="308"/>
      <c r="AX59" s="308"/>
      <c r="AY59" s="308"/>
      <c r="AZ59" s="308"/>
      <c r="BA59" s="308"/>
      <c r="BB59" s="308"/>
      <c r="BC59" s="308"/>
      <c r="BD59" s="308"/>
      <c r="BE59" s="308"/>
      <c r="BF59" s="308"/>
      <c r="BG59" s="308"/>
      <c r="BH59" s="308"/>
      <c r="BI59" s="308"/>
      <c r="BJ59" s="308"/>
      <c r="BK59" s="308"/>
      <c r="BL59" s="308"/>
      <c r="BM59" s="308"/>
      <c r="BN59" s="308"/>
      <c r="BO59" s="308"/>
      <c r="BP59" s="308"/>
      <c r="BQ59" s="308"/>
      <c r="BR59" s="308"/>
      <c r="BS59" s="308"/>
      <c r="BT59" s="308"/>
      <c r="BU59" s="308"/>
      <c r="BV59" s="308"/>
      <c r="BW59" s="308"/>
      <c r="BX59" s="308"/>
      <c r="BY59" s="308"/>
      <c r="BZ59" s="308"/>
      <c r="CA59" s="308"/>
      <c r="CB59" s="308"/>
      <c r="CC59" s="308"/>
      <c r="CD59" s="308"/>
      <c r="CE59" s="308"/>
      <c r="CF59" s="308"/>
      <c r="CG59" s="308"/>
      <c r="CH59" s="308"/>
      <c r="CI59" s="308"/>
      <c r="CJ59" s="308"/>
    </row>
    <row r="60" spans="1:88" x14ac:dyDescent="0.25">
      <c r="A60" s="308"/>
      <c r="B60" s="309"/>
      <c r="C60" s="309"/>
      <c r="D60" s="309"/>
      <c r="E60" s="309"/>
      <c r="F60" s="360"/>
      <c r="G60" s="309"/>
      <c r="H60" s="309"/>
      <c r="I60" s="309"/>
      <c r="J60" s="309"/>
      <c r="K60" s="309"/>
      <c r="L60" s="309"/>
      <c r="M60" s="309"/>
      <c r="N60" s="309"/>
      <c r="O60" s="309"/>
      <c r="P60" s="309"/>
      <c r="Q60" s="309"/>
      <c r="R60" s="309"/>
      <c r="S60" s="309"/>
      <c r="T60" s="309"/>
      <c r="U60" s="309"/>
      <c r="V60" s="309"/>
      <c r="W60" s="308"/>
      <c r="X60" s="308"/>
      <c r="Y60" s="306"/>
      <c r="Z60" s="306"/>
      <c r="AA60" s="306"/>
      <c r="AB60" s="306"/>
      <c r="AC60" s="306"/>
      <c r="AD60" s="306"/>
      <c r="AE60" s="306"/>
      <c r="AF60" s="306"/>
      <c r="AG60" s="306"/>
      <c r="AH60" s="306"/>
      <c r="AI60" s="306"/>
      <c r="AJ60" s="306"/>
      <c r="AK60" s="306"/>
      <c r="AL60" s="306"/>
      <c r="AM60" s="306"/>
      <c r="AN60" s="306"/>
      <c r="AO60" s="308"/>
      <c r="AP60" s="308"/>
      <c r="AQ60" s="308"/>
      <c r="AR60" s="308"/>
      <c r="AS60" s="308"/>
      <c r="AT60" s="308"/>
      <c r="AU60" s="308"/>
      <c r="AV60" s="308"/>
      <c r="AW60" s="308"/>
      <c r="AX60" s="308"/>
      <c r="AY60" s="308"/>
      <c r="AZ60" s="308"/>
      <c r="BA60" s="308"/>
      <c r="BB60" s="308"/>
      <c r="BC60" s="308"/>
      <c r="BD60" s="308"/>
      <c r="BE60" s="308"/>
      <c r="BF60" s="308"/>
      <c r="BG60" s="308"/>
      <c r="BH60" s="308"/>
      <c r="BI60" s="308"/>
      <c r="BJ60" s="308"/>
      <c r="BK60" s="308"/>
      <c r="BL60" s="308"/>
      <c r="BM60" s="308"/>
      <c r="BN60" s="308"/>
      <c r="BO60" s="308"/>
      <c r="BP60" s="308"/>
      <c r="BQ60" s="308"/>
      <c r="BR60" s="308"/>
      <c r="BS60" s="308"/>
      <c r="BT60" s="308"/>
      <c r="BU60" s="308"/>
      <c r="BV60" s="308"/>
      <c r="BW60" s="308"/>
      <c r="BX60" s="308"/>
      <c r="BY60" s="308"/>
      <c r="BZ60" s="308"/>
      <c r="CA60" s="308"/>
      <c r="CB60" s="308"/>
      <c r="CC60" s="308"/>
      <c r="CD60" s="308"/>
      <c r="CE60" s="308"/>
      <c r="CF60" s="308"/>
      <c r="CG60" s="308"/>
      <c r="CH60" s="308"/>
      <c r="CI60" s="308"/>
      <c r="CJ60" s="308"/>
    </row>
    <row r="61" spans="1:88" x14ac:dyDescent="0.25">
      <c r="A61" s="308"/>
      <c r="B61" s="309"/>
      <c r="C61" s="309"/>
      <c r="D61" s="309"/>
      <c r="E61" s="309"/>
      <c r="F61" s="360"/>
      <c r="G61" s="309"/>
      <c r="H61" s="309"/>
      <c r="I61" s="309"/>
      <c r="J61" s="309"/>
      <c r="K61" s="309"/>
      <c r="L61" s="309"/>
      <c r="M61" s="309"/>
      <c r="N61" s="309"/>
      <c r="O61" s="309"/>
      <c r="P61" s="309"/>
      <c r="Q61" s="309"/>
      <c r="R61" s="309"/>
      <c r="S61" s="309"/>
      <c r="T61" s="309"/>
      <c r="U61" s="309"/>
      <c r="V61" s="309"/>
      <c r="W61" s="308"/>
      <c r="X61" s="308"/>
      <c r="Y61" s="306"/>
      <c r="Z61" s="306"/>
      <c r="AA61" s="306"/>
      <c r="AB61" s="306"/>
      <c r="AC61" s="306"/>
      <c r="AD61" s="306"/>
      <c r="AE61" s="306"/>
      <c r="AF61" s="306"/>
      <c r="AG61" s="306"/>
      <c r="AH61" s="306"/>
      <c r="AI61" s="306"/>
      <c r="AJ61" s="306"/>
      <c r="AK61" s="306"/>
      <c r="AL61" s="306"/>
      <c r="AM61" s="306"/>
      <c r="AN61" s="306"/>
      <c r="AO61" s="308"/>
      <c r="AP61" s="308"/>
      <c r="AQ61" s="308"/>
      <c r="AR61" s="308"/>
      <c r="AS61" s="308"/>
      <c r="AT61" s="308"/>
      <c r="AU61" s="308"/>
      <c r="AV61" s="308"/>
      <c r="AW61" s="308"/>
      <c r="AX61" s="308"/>
      <c r="AY61" s="308"/>
      <c r="AZ61" s="308"/>
      <c r="BA61" s="308"/>
      <c r="BB61" s="308"/>
      <c r="BC61" s="308"/>
      <c r="BD61" s="308"/>
      <c r="BE61" s="308"/>
      <c r="BF61" s="308"/>
      <c r="BG61" s="308"/>
      <c r="BH61" s="308"/>
      <c r="BI61" s="308"/>
      <c r="BJ61" s="308"/>
      <c r="BK61" s="308"/>
      <c r="BL61" s="308"/>
      <c r="BM61" s="308"/>
      <c r="BN61" s="308"/>
      <c r="BO61" s="308"/>
      <c r="BP61" s="308"/>
      <c r="BQ61" s="308"/>
      <c r="BR61" s="308"/>
      <c r="BS61" s="308"/>
      <c r="BT61" s="308"/>
      <c r="BU61" s="308"/>
      <c r="BV61" s="308"/>
      <c r="BW61" s="308"/>
      <c r="BX61" s="308"/>
      <c r="BY61" s="308"/>
      <c r="BZ61" s="308"/>
      <c r="CA61" s="308"/>
      <c r="CB61" s="308"/>
      <c r="CC61" s="308"/>
      <c r="CD61" s="308"/>
      <c r="CE61" s="308"/>
      <c r="CF61" s="308"/>
      <c r="CG61" s="308"/>
      <c r="CH61" s="308"/>
      <c r="CI61" s="308"/>
      <c r="CJ61" s="308"/>
    </row>
    <row r="62" spans="1:88" x14ac:dyDescent="0.25">
      <c r="A62" s="308"/>
      <c r="B62" s="309"/>
      <c r="C62" s="309"/>
      <c r="D62" s="309"/>
      <c r="E62" s="309"/>
      <c r="F62" s="309"/>
      <c r="G62" s="309"/>
      <c r="H62" s="309"/>
      <c r="I62" s="309"/>
      <c r="J62" s="309"/>
      <c r="K62" s="309"/>
      <c r="L62" s="309"/>
      <c r="M62" s="309"/>
      <c r="N62" s="309"/>
      <c r="O62" s="309"/>
      <c r="P62" s="309"/>
      <c r="Q62" s="309"/>
      <c r="R62" s="309"/>
      <c r="S62" s="309"/>
      <c r="T62" s="309"/>
      <c r="U62" s="309"/>
      <c r="V62" s="309"/>
      <c r="W62" s="308"/>
      <c r="X62" s="308"/>
      <c r="Y62" s="306"/>
      <c r="Z62" s="306"/>
      <c r="AA62" s="306"/>
      <c r="AB62" s="306"/>
      <c r="AC62" s="306"/>
      <c r="AD62" s="306"/>
      <c r="AE62" s="306"/>
      <c r="AF62" s="306"/>
      <c r="AG62" s="306"/>
      <c r="AH62" s="306"/>
      <c r="AI62" s="306"/>
      <c r="AJ62" s="306"/>
      <c r="AK62" s="306"/>
      <c r="AL62" s="306"/>
      <c r="AM62" s="306"/>
      <c r="AN62" s="306"/>
      <c r="AO62" s="308"/>
      <c r="AP62" s="308"/>
      <c r="AQ62" s="308"/>
      <c r="AR62" s="308"/>
      <c r="AS62" s="308"/>
      <c r="AT62" s="308"/>
      <c r="AU62" s="308"/>
      <c r="AV62" s="308"/>
      <c r="AW62" s="308"/>
      <c r="AX62" s="308"/>
      <c r="AY62" s="308"/>
      <c r="AZ62" s="308"/>
      <c r="BA62" s="308"/>
      <c r="BB62" s="308"/>
      <c r="BC62" s="308"/>
      <c r="BD62" s="308"/>
      <c r="BE62" s="308"/>
      <c r="BF62" s="308"/>
      <c r="BG62" s="308"/>
      <c r="BH62" s="308"/>
      <c r="BI62" s="308"/>
      <c r="BJ62" s="308"/>
      <c r="BK62" s="308"/>
      <c r="BL62" s="308"/>
      <c r="BM62" s="308"/>
      <c r="BN62" s="308"/>
      <c r="BO62" s="308"/>
      <c r="BP62" s="308"/>
      <c r="BQ62" s="308"/>
      <c r="BR62" s="308"/>
      <c r="BS62" s="308"/>
      <c r="BT62" s="308"/>
      <c r="BU62" s="308"/>
      <c r="BV62" s="308"/>
      <c r="BW62" s="308"/>
      <c r="BX62" s="308"/>
      <c r="BY62" s="308"/>
      <c r="BZ62" s="308"/>
      <c r="CA62" s="308"/>
      <c r="CB62" s="308"/>
      <c r="CC62" s="308"/>
      <c r="CD62" s="308"/>
      <c r="CE62" s="308"/>
      <c r="CF62" s="308"/>
      <c r="CG62" s="308"/>
      <c r="CH62" s="308"/>
      <c r="CI62" s="308"/>
      <c r="CJ62" s="308"/>
    </row>
    <row r="63" spans="1:88" x14ac:dyDescent="0.25">
      <c r="A63" s="308"/>
      <c r="B63" s="309"/>
      <c r="C63" s="309"/>
      <c r="D63" s="309"/>
      <c r="E63" s="309"/>
      <c r="F63" s="361"/>
      <c r="G63" s="309"/>
      <c r="H63" s="309"/>
      <c r="I63" s="309"/>
      <c r="J63" s="309"/>
      <c r="K63" s="309"/>
      <c r="L63" s="309"/>
      <c r="M63" s="309"/>
      <c r="N63" s="309"/>
      <c r="O63" s="309"/>
      <c r="P63" s="309"/>
      <c r="Q63" s="309"/>
      <c r="R63" s="309"/>
      <c r="S63" s="309"/>
      <c r="T63" s="309"/>
      <c r="U63" s="309"/>
      <c r="V63" s="309"/>
      <c r="W63" s="308"/>
      <c r="X63" s="308"/>
      <c r="Y63" s="306"/>
      <c r="Z63" s="306"/>
      <c r="AA63" s="306"/>
      <c r="AB63" s="306"/>
      <c r="AC63" s="306"/>
      <c r="AD63" s="306"/>
      <c r="AE63" s="306"/>
      <c r="AF63" s="306"/>
      <c r="AG63" s="306"/>
      <c r="AH63" s="306"/>
      <c r="AI63" s="306"/>
      <c r="AJ63" s="306"/>
      <c r="AK63" s="306"/>
      <c r="AL63" s="306"/>
      <c r="AM63" s="306"/>
      <c r="AN63" s="306"/>
      <c r="AO63" s="308"/>
      <c r="AP63" s="308"/>
      <c r="AQ63" s="308"/>
      <c r="AR63" s="308"/>
      <c r="AS63" s="308"/>
      <c r="AT63" s="308"/>
      <c r="AU63" s="308"/>
      <c r="AV63" s="308"/>
      <c r="AW63" s="308"/>
      <c r="AX63" s="308"/>
      <c r="AY63" s="308"/>
      <c r="AZ63" s="308"/>
      <c r="BA63" s="308"/>
      <c r="BB63" s="308"/>
      <c r="BC63" s="308"/>
      <c r="BD63" s="308"/>
      <c r="BE63" s="308"/>
      <c r="BF63" s="308"/>
      <c r="BG63" s="308"/>
      <c r="BH63" s="308"/>
      <c r="BI63" s="308"/>
      <c r="BJ63" s="308"/>
      <c r="BK63" s="308"/>
      <c r="BL63" s="308"/>
      <c r="BM63" s="308"/>
      <c r="BN63" s="308"/>
      <c r="BO63" s="308"/>
      <c r="BP63" s="308"/>
      <c r="BQ63" s="308"/>
      <c r="BR63" s="308"/>
      <c r="BS63" s="308"/>
      <c r="BT63" s="308"/>
      <c r="BU63" s="308"/>
      <c r="BV63" s="308"/>
      <c r="BW63" s="308"/>
      <c r="BX63" s="308"/>
      <c r="BY63" s="308"/>
      <c r="BZ63" s="308"/>
      <c r="CA63" s="308"/>
      <c r="CB63" s="308"/>
      <c r="CC63" s="308"/>
      <c r="CD63" s="308"/>
      <c r="CE63" s="308"/>
      <c r="CF63" s="308"/>
      <c r="CG63" s="308"/>
      <c r="CH63" s="308"/>
      <c r="CI63" s="308"/>
      <c r="CJ63" s="308"/>
    </row>
    <row r="64" spans="1:88" x14ac:dyDescent="0.25">
      <c r="A64" s="308"/>
      <c r="B64" s="309"/>
      <c r="C64" s="309"/>
      <c r="D64" s="309"/>
      <c r="E64" s="309"/>
      <c r="F64" s="309"/>
      <c r="G64" s="309"/>
      <c r="H64" s="309"/>
      <c r="I64" s="309"/>
      <c r="J64" s="309"/>
      <c r="K64" s="309"/>
      <c r="L64" s="309"/>
      <c r="M64" s="309"/>
      <c r="N64" s="309"/>
      <c r="O64" s="309"/>
      <c r="P64" s="309"/>
      <c r="Q64" s="309"/>
      <c r="R64" s="309"/>
      <c r="S64" s="309"/>
      <c r="T64" s="309"/>
      <c r="U64" s="309"/>
      <c r="V64" s="309"/>
      <c r="W64" s="308"/>
      <c r="X64" s="308"/>
      <c r="Y64" s="306"/>
      <c r="Z64" s="306"/>
      <c r="AA64" s="306"/>
      <c r="AB64" s="306"/>
      <c r="AC64" s="306"/>
      <c r="AD64" s="306"/>
      <c r="AE64" s="306"/>
      <c r="AF64" s="306"/>
      <c r="AG64" s="306"/>
      <c r="AH64" s="306"/>
      <c r="AI64" s="306"/>
      <c r="AJ64" s="306"/>
      <c r="AK64" s="306"/>
      <c r="AL64" s="306"/>
      <c r="AM64" s="306"/>
      <c r="AN64" s="306"/>
      <c r="AO64" s="308"/>
      <c r="AP64" s="308"/>
      <c r="AQ64" s="308"/>
      <c r="AR64" s="308"/>
      <c r="AS64" s="308"/>
      <c r="AT64" s="308"/>
      <c r="AU64" s="308"/>
      <c r="AV64" s="308"/>
      <c r="AW64" s="308"/>
      <c r="AX64" s="308"/>
      <c r="AY64" s="308"/>
      <c r="AZ64" s="308"/>
      <c r="BA64" s="308"/>
      <c r="BB64" s="308"/>
      <c r="BC64" s="308"/>
      <c r="BD64" s="308"/>
      <c r="BE64" s="308"/>
      <c r="BF64" s="308"/>
      <c r="BG64" s="308"/>
      <c r="BH64" s="308"/>
      <c r="BI64" s="308"/>
      <c r="BJ64" s="308"/>
      <c r="BK64" s="308"/>
      <c r="BL64" s="308"/>
      <c r="BM64" s="308"/>
      <c r="BN64" s="308"/>
      <c r="BO64" s="308"/>
      <c r="BP64" s="308"/>
      <c r="BQ64" s="308"/>
      <c r="BR64" s="308"/>
      <c r="BS64" s="308"/>
      <c r="BT64" s="308"/>
      <c r="BU64" s="308"/>
      <c r="BV64" s="308"/>
      <c r="BW64" s="308"/>
      <c r="BX64" s="308"/>
      <c r="BY64" s="308"/>
      <c r="BZ64" s="308"/>
      <c r="CA64" s="308"/>
      <c r="CB64" s="308"/>
      <c r="CC64" s="308"/>
      <c r="CD64" s="308"/>
      <c r="CE64" s="308"/>
      <c r="CF64" s="308"/>
      <c r="CG64" s="308"/>
      <c r="CH64" s="308"/>
      <c r="CI64" s="308"/>
      <c r="CJ64" s="308"/>
    </row>
    <row r="65" spans="1:88" x14ac:dyDescent="0.25">
      <c r="A65" s="308"/>
      <c r="B65" s="309"/>
      <c r="C65" s="309"/>
      <c r="D65" s="309"/>
      <c r="E65" s="309"/>
      <c r="F65" s="309"/>
      <c r="G65" s="309"/>
      <c r="H65" s="309"/>
      <c r="I65" s="309"/>
      <c r="J65" s="309"/>
      <c r="K65" s="309"/>
      <c r="L65" s="309"/>
      <c r="M65" s="309"/>
      <c r="N65" s="309"/>
      <c r="O65" s="309"/>
      <c r="P65" s="309"/>
      <c r="Q65" s="309"/>
      <c r="R65" s="309"/>
      <c r="S65" s="309"/>
      <c r="T65" s="309"/>
      <c r="U65" s="309"/>
      <c r="V65" s="309"/>
      <c r="W65" s="308"/>
      <c r="X65" s="308"/>
      <c r="Y65" s="306"/>
      <c r="Z65" s="306"/>
      <c r="AA65" s="306"/>
      <c r="AB65" s="306"/>
      <c r="AC65" s="306"/>
      <c r="AD65" s="306"/>
      <c r="AE65" s="306"/>
      <c r="AF65" s="306"/>
      <c r="AG65" s="306"/>
      <c r="AH65" s="306"/>
      <c r="AI65" s="306"/>
      <c r="AJ65" s="306"/>
      <c r="AK65" s="306"/>
      <c r="AL65" s="306"/>
      <c r="AM65" s="306"/>
      <c r="AN65" s="306"/>
      <c r="AO65" s="308"/>
      <c r="AP65" s="308"/>
      <c r="AQ65" s="308"/>
      <c r="AR65" s="308"/>
      <c r="AS65" s="308"/>
      <c r="AT65" s="308"/>
      <c r="AU65" s="308"/>
      <c r="AV65" s="308"/>
      <c r="AW65" s="308"/>
      <c r="AX65" s="308"/>
      <c r="AY65" s="308"/>
      <c r="AZ65" s="308"/>
      <c r="BA65" s="308"/>
      <c r="BB65" s="308"/>
      <c r="BC65" s="308"/>
      <c r="BD65" s="308"/>
      <c r="BE65" s="308"/>
      <c r="BF65" s="308"/>
      <c r="BG65" s="308"/>
      <c r="BH65" s="308"/>
      <c r="BI65" s="308"/>
      <c r="BJ65" s="308"/>
      <c r="BK65" s="308"/>
      <c r="BL65" s="308"/>
      <c r="BM65" s="308"/>
      <c r="BN65" s="308"/>
      <c r="BO65" s="308"/>
      <c r="BP65" s="308"/>
      <c r="BQ65" s="308"/>
      <c r="BR65" s="308"/>
      <c r="BS65" s="308"/>
      <c r="BT65" s="308"/>
      <c r="BU65" s="308"/>
      <c r="BV65" s="308"/>
      <c r="BW65" s="308"/>
      <c r="BX65" s="308"/>
      <c r="BY65" s="308"/>
      <c r="BZ65" s="308"/>
      <c r="CA65" s="308"/>
      <c r="CB65" s="308"/>
      <c r="CC65" s="308"/>
      <c r="CD65" s="308"/>
      <c r="CE65" s="308"/>
      <c r="CF65" s="308"/>
      <c r="CG65" s="308"/>
      <c r="CH65" s="308"/>
      <c r="CI65" s="308"/>
      <c r="CJ65" s="308"/>
    </row>
    <row r="66" spans="1:88" x14ac:dyDescent="0.25">
      <c r="A66" s="308"/>
      <c r="B66" s="309"/>
      <c r="C66" s="309"/>
      <c r="D66" s="309"/>
      <c r="E66" s="309"/>
      <c r="F66" s="309"/>
      <c r="G66" s="309"/>
      <c r="H66" s="309"/>
      <c r="I66" s="309"/>
      <c r="J66" s="309"/>
      <c r="K66" s="309"/>
      <c r="L66" s="309"/>
      <c r="M66" s="309"/>
      <c r="N66" s="309"/>
      <c r="O66" s="309"/>
      <c r="P66" s="309"/>
      <c r="Q66" s="309"/>
      <c r="R66" s="309"/>
      <c r="S66" s="309"/>
      <c r="T66" s="309"/>
      <c r="U66" s="309"/>
      <c r="V66" s="309"/>
      <c r="W66" s="308"/>
      <c r="X66" s="308"/>
      <c r="Y66" s="306"/>
      <c r="Z66" s="306"/>
      <c r="AA66" s="306"/>
      <c r="AB66" s="306"/>
      <c r="AC66" s="306"/>
      <c r="AD66" s="306"/>
      <c r="AE66" s="306"/>
      <c r="AF66" s="306"/>
      <c r="AG66" s="306"/>
      <c r="AH66" s="306"/>
      <c r="AI66" s="306"/>
      <c r="AJ66" s="306"/>
      <c r="AK66" s="306"/>
      <c r="AL66" s="306"/>
      <c r="AM66" s="306"/>
      <c r="AN66" s="306"/>
      <c r="AO66" s="308"/>
      <c r="AP66" s="308"/>
      <c r="AQ66" s="308"/>
      <c r="AR66" s="308"/>
      <c r="AS66" s="308"/>
      <c r="AT66" s="308"/>
      <c r="AU66" s="308"/>
      <c r="AV66" s="308"/>
      <c r="AW66" s="308"/>
      <c r="AX66" s="308"/>
      <c r="AY66" s="308"/>
      <c r="AZ66" s="308"/>
      <c r="BA66" s="308"/>
      <c r="BB66" s="308"/>
      <c r="BC66" s="308"/>
      <c r="BD66" s="308"/>
      <c r="BE66" s="308"/>
      <c r="BF66" s="308"/>
      <c r="BG66" s="308"/>
      <c r="BH66" s="308"/>
      <c r="BI66" s="308"/>
      <c r="BJ66" s="308"/>
      <c r="BK66" s="308"/>
      <c r="BL66" s="308"/>
      <c r="BM66" s="308"/>
      <c r="BN66" s="308"/>
      <c r="BO66" s="308"/>
      <c r="BP66" s="308"/>
      <c r="BQ66" s="308"/>
      <c r="BR66" s="308"/>
      <c r="BS66" s="308"/>
      <c r="BT66" s="308"/>
      <c r="BU66" s="308"/>
      <c r="BV66" s="308"/>
      <c r="BW66" s="308"/>
      <c r="BX66" s="308"/>
      <c r="BY66" s="308"/>
      <c r="BZ66" s="308"/>
      <c r="CA66" s="308"/>
      <c r="CB66" s="308"/>
      <c r="CC66" s="308"/>
      <c r="CD66" s="308"/>
      <c r="CE66" s="308"/>
      <c r="CF66" s="308"/>
      <c r="CG66" s="308"/>
      <c r="CH66" s="308"/>
      <c r="CI66" s="308"/>
      <c r="CJ66" s="308"/>
    </row>
    <row r="67" spans="1:88" x14ac:dyDescent="0.25">
      <c r="A67" s="308"/>
      <c r="B67" s="309"/>
      <c r="C67" s="309"/>
      <c r="D67" s="309"/>
      <c r="E67" s="309"/>
      <c r="F67" s="309"/>
      <c r="G67" s="309"/>
      <c r="H67" s="309"/>
      <c r="I67" s="309"/>
      <c r="J67" s="309"/>
      <c r="K67" s="309"/>
      <c r="L67" s="309"/>
      <c r="M67" s="309"/>
      <c r="N67" s="309"/>
      <c r="O67" s="309"/>
      <c r="P67" s="309"/>
      <c r="Q67" s="309"/>
      <c r="R67" s="309"/>
      <c r="S67" s="309"/>
      <c r="T67" s="309"/>
      <c r="U67" s="309"/>
      <c r="V67" s="309"/>
      <c r="W67" s="308"/>
      <c r="X67" s="308"/>
      <c r="Y67" s="306"/>
      <c r="Z67" s="306"/>
      <c r="AA67" s="306"/>
      <c r="AB67" s="306"/>
      <c r="AC67" s="306"/>
      <c r="AD67" s="306"/>
      <c r="AE67" s="306"/>
      <c r="AF67" s="306"/>
      <c r="AG67" s="306"/>
      <c r="AH67" s="306"/>
      <c r="AI67" s="306"/>
      <c r="AJ67" s="306"/>
      <c r="AK67" s="306"/>
      <c r="AL67" s="306"/>
      <c r="AM67" s="306"/>
      <c r="AN67" s="306"/>
      <c r="AO67" s="308"/>
      <c r="AP67" s="308"/>
      <c r="AQ67" s="308"/>
      <c r="AR67" s="308"/>
      <c r="AS67" s="308"/>
      <c r="AT67" s="308"/>
      <c r="AU67" s="308"/>
      <c r="AV67" s="308"/>
      <c r="AW67" s="308"/>
      <c r="AX67" s="308"/>
      <c r="AY67" s="308"/>
      <c r="AZ67" s="308"/>
      <c r="BA67" s="308"/>
      <c r="BB67" s="308"/>
      <c r="BC67" s="308"/>
      <c r="BD67" s="308"/>
      <c r="BE67" s="308"/>
      <c r="BF67" s="308"/>
      <c r="BG67" s="308"/>
      <c r="BH67" s="308"/>
      <c r="BI67" s="308"/>
      <c r="BJ67" s="308"/>
      <c r="BK67" s="308"/>
      <c r="BL67" s="308"/>
      <c r="BM67" s="308"/>
      <c r="BN67" s="308"/>
      <c r="BO67" s="308"/>
      <c r="BP67" s="308"/>
      <c r="BQ67" s="308"/>
      <c r="BR67" s="308"/>
      <c r="BS67" s="308"/>
      <c r="BT67" s="308"/>
      <c r="BU67" s="308"/>
      <c r="BV67" s="308"/>
      <c r="BW67" s="308"/>
      <c r="BX67" s="308"/>
      <c r="BY67" s="308"/>
      <c r="BZ67" s="308"/>
      <c r="CA67" s="308"/>
      <c r="CB67" s="308"/>
      <c r="CC67" s="308"/>
      <c r="CD67" s="308"/>
      <c r="CE67" s="308"/>
      <c r="CF67" s="308"/>
      <c r="CG67" s="308"/>
      <c r="CH67" s="308"/>
      <c r="CI67" s="308"/>
      <c r="CJ67" s="308"/>
    </row>
    <row r="68" spans="1:88" x14ac:dyDescent="0.25">
      <c r="A68" s="308"/>
      <c r="B68" s="309"/>
      <c r="C68" s="309"/>
      <c r="D68" s="309"/>
      <c r="E68" s="309"/>
      <c r="F68" s="309"/>
      <c r="G68" s="309"/>
      <c r="H68" s="309"/>
      <c r="I68" s="309"/>
      <c r="J68" s="309"/>
      <c r="K68" s="309"/>
      <c r="L68" s="309"/>
      <c r="M68" s="309"/>
      <c r="N68" s="309"/>
      <c r="O68" s="309"/>
      <c r="P68" s="309"/>
      <c r="Q68" s="309"/>
      <c r="R68" s="309"/>
      <c r="S68" s="309"/>
      <c r="T68" s="309"/>
      <c r="U68" s="309"/>
      <c r="V68" s="309"/>
      <c r="W68" s="308"/>
      <c r="X68" s="308"/>
      <c r="Y68" s="306"/>
      <c r="Z68" s="306"/>
      <c r="AA68" s="306"/>
      <c r="AB68" s="306"/>
      <c r="AC68" s="306"/>
      <c r="AD68" s="306"/>
      <c r="AE68" s="306"/>
      <c r="AF68" s="306"/>
      <c r="AG68" s="306"/>
      <c r="AH68" s="306"/>
      <c r="AI68" s="306"/>
      <c r="AJ68" s="306"/>
      <c r="AK68" s="306"/>
      <c r="AL68" s="306"/>
      <c r="AM68" s="306"/>
      <c r="AN68" s="306"/>
      <c r="AO68" s="308"/>
      <c r="AP68" s="308"/>
      <c r="AQ68" s="308"/>
      <c r="AR68" s="308"/>
      <c r="AS68" s="308"/>
      <c r="AT68" s="308"/>
      <c r="AU68" s="308"/>
      <c r="AV68" s="308"/>
      <c r="AW68" s="308"/>
      <c r="AX68" s="308"/>
      <c r="AY68" s="308"/>
      <c r="AZ68" s="308"/>
      <c r="BA68" s="308"/>
      <c r="BB68" s="308"/>
      <c r="BC68" s="308"/>
      <c r="BD68" s="308"/>
      <c r="BE68" s="308"/>
      <c r="BF68" s="308"/>
      <c r="BG68" s="308"/>
      <c r="BH68" s="308"/>
      <c r="BI68" s="308"/>
      <c r="BJ68" s="308"/>
      <c r="BK68" s="308"/>
      <c r="BL68" s="308"/>
      <c r="BM68" s="308"/>
      <c r="BN68" s="308"/>
      <c r="BO68" s="308"/>
      <c r="BP68" s="308"/>
      <c r="BQ68" s="308"/>
      <c r="BR68" s="308"/>
      <c r="BS68" s="308"/>
      <c r="BT68" s="308"/>
      <c r="BU68" s="308"/>
      <c r="BV68" s="308"/>
      <c r="BW68" s="308"/>
      <c r="BX68" s="308"/>
      <c r="BY68" s="308"/>
      <c r="BZ68" s="308"/>
      <c r="CA68" s="308"/>
      <c r="CB68" s="308"/>
      <c r="CC68" s="308"/>
      <c r="CD68" s="308"/>
      <c r="CE68" s="308"/>
      <c r="CF68" s="308"/>
      <c r="CG68" s="308"/>
      <c r="CH68" s="308"/>
      <c r="CI68" s="308"/>
      <c r="CJ68" s="308"/>
    </row>
    <row r="69" spans="1:88" x14ac:dyDescent="0.25">
      <c r="A69" s="308"/>
      <c r="B69" s="309"/>
      <c r="C69" s="309"/>
      <c r="D69" s="309"/>
      <c r="E69" s="309"/>
      <c r="F69" s="309"/>
      <c r="G69" s="309"/>
      <c r="H69" s="309"/>
      <c r="I69" s="309"/>
      <c r="J69" s="309"/>
      <c r="K69" s="309"/>
      <c r="L69" s="309"/>
      <c r="M69" s="309"/>
      <c r="N69" s="309"/>
      <c r="O69" s="309"/>
      <c r="P69" s="309"/>
      <c r="Q69" s="309"/>
      <c r="R69" s="309"/>
      <c r="S69" s="309"/>
      <c r="T69" s="309"/>
      <c r="U69" s="309"/>
      <c r="V69" s="309"/>
      <c r="W69" s="308"/>
      <c r="X69" s="308"/>
      <c r="Y69" s="306"/>
      <c r="Z69" s="306"/>
      <c r="AA69" s="306"/>
      <c r="AB69" s="306"/>
      <c r="AC69" s="306"/>
      <c r="AD69" s="306"/>
      <c r="AE69" s="306"/>
      <c r="AF69" s="306"/>
      <c r="AG69" s="306"/>
      <c r="AH69" s="306"/>
      <c r="AI69" s="306"/>
      <c r="AJ69" s="306"/>
      <c r="AK69" s="306"/>
      <c r="AL69" s="306"/>
      <c r="AM69" s="306"/>
      <c r="AN69" s="306"/>
      <c r="AO69" s="308"/>
      <c r="AP69" s="308"/>
      <c r="AQ69" s="308"/>
      <c r="AR69" s="308"/>
      <c r="AS69" s="308"/>
      <c r="AT69" s="308"/>
      <c r="AU69" s="308"/>
      <c r="AV69" s="308"/>
      <c r="AW69" s="308"/>
      <c r="AX69" s="308"/>
      <c r="AY69" s="308"/>
      <c r="AZ69" s="308"/>
      <c r="BA69" s="308"/>
      <c r="BB69" s="308"/>
      <c r="BC69" s="308"/>
      <c r="BD69" s="308"/>
      <c r="BE69" s="308"/>
      <c r="BF69" s="308"/>
      <c r="BG69" s="308"/>
      <c r="BH69" s="308"/>
      <c r="BI69" s="308"/>
      <c r="BJ69" s="308"/>
      <c r="BK69" s="308"/>
      <c r="BL69" s="308"/>
      <c r="BM69" s="308"/>
      <c r="BN69" s="308"/>
      <c r="BO69" s="308"/>
      <c r="BP69" s="308"/>
      <c r="BQ69" s="308"/>
      <c r="BR69" s="308"/>
      <c r="BS69" s="308"/>
      <c r="BT69" s="308"/>
      <c r="BU69" s="308"/>
      <c r="BV69" s="308"/>
      <c r="BW69" s="308"/>
      <c r="BX69" s="308"/>
      <c r="BY69" s="308"/>
      <c r="BZ69" s="308"/>
      <c r="CA69" s="308"/>
      <c r="CB69" s="308"/>
      <c r="CC69" s="308"/>
      <c r="CD69" s="308"/>
      <c r="CE69" s="308"/>
      <c r="CF69" s="308"/>
      <c r="CG69" s="308"/>
      <c r="CH69" s="308"/>
      <c r="CI69" s="308"/>
      <c r="CJ69" s="308"/>
    </row>
    <row r="70" spans="1:88" x14ac:dyDescent="0.25">
      <c r="A70" s="308"/>
      <c r="B70" s="309"/>
      <c r="C70" s="351"/>
      <c r="D70" s="309"/>
      <c r="E70" s="309"/>
      <c r="F70" s="309"/>
      <c r="G70" s="309"/>
      <c r="H70" s="309"/>
      <c r="I70" s="309"/>
      <c r="J70" s="309"/>
      <c r="K70" s="309"/>
      <c r="L70" s="309"/>
      <c r="M70" s="309"/>
      <c r="N70" s="309"/>
      <c r="O70" s="309"/>
      <c r="P70" s="309"/>
      <c r="Q70" s="309"/>
      <c r="R70" s="309"/>
      <c r="S70" s="309"/>
      <c r="T70" s="309"/>
      <c r="U70" s="309"/>
      <c r="V70" s="309"/>
      <c r="W70" s="308"/>
      <c r="X70" s="308"/>
      <c r="Y70" s="306"/>
      <c r="Z70" s="306"/>
      <c r="AA70" s="306"/>
      <c r="AB70" s="306"/>
      <c r="AC70" s="306"/>
      <c r="AD70" s="306"/>
      <c r="AE70" s="306"/>
      <c r="AF70" s="306"/>
      <c r="AG70" s="306"/>
      <c r="AH70" s="306"/>
      <c r="AI70" s="306"/>
      <c r="AJ70" s="306"/>
      <c r="AK70" s="306"/>
      <c r="AL70" s="306"/>
      <c r="AM70" s="306"/>
      <c r="AN70" s="306"/>
      <c r="AO70" s="308"/>
      <c r="AP70" s="308"/>
      <c r="AQ70" s="308"/>
      <c r="AR70" s="308"/>
      <c r="AS70" s="308"/>
      <c r="AT70" s="308"/>
      <c r="AU70" s="308"/>
      <c r="AV70" s="308"/>
      <c r="AW70" s="308"/>
      <c r="AX70" s="308"/>
      <c r="AY70" s="308"/>
      <c r="AZ70" s="308"/>
      <c r="BA70" s="308"/>
      <c r="BB70" s="308"/>
      <c r="BC70" s="308"/>
      <c r="BD70" s="308"/>
      <c r="BE70" s="308"/>
      <c r="BF70" s="308"/>
      <c r="BG70" s="308"/>
      <c r="BH70" s="308"/>
      <c r="BI70" s="308"/>
      <c r="BJ70" s="308"/>
      <c r="BK70" s="308"/>
      <c r="BL70" s="308"/>
      <c r="BM70" s="308"/>
      <c r="BN70" s="308"/>
      <c r="BO70" s="308"/>
      <c r="BP70" s="308"/>
      <c r="BQ70" s="308"/>
      <c r="BR70" s="308"/>
      <c r="BS70" s="308"/>
      <c r="BT70" s="308"/>
      <c r="BU70" s="308"/>
      <c r="BV70" s="308"/>
      <c r="BW70" s="308"/>
      <c r="BX70" s="308"/>
      <c r="BY70" s="308"/>
      <c r="BZ70" s="308"/>
      <c r="CA70" s="308"/>
      <c r="CB70" s="308"/>
      <c r="CC70" s="308"/>
      <c r="CD70" s="308"/>
      <c r="CE70" s="308"/>
      <c r="CF70" s="308"/>
      <c r="CG70" s="308"/>
      <c r="CH70" s="308"/>
      <c r="CI70" s="308"/>
      <c r="CJ70" s="308"/>
    </row>
    <row r="71" spans="1:88" x14ac:dyDescent="0.25">
      <c r="A71" s="308"/>
      <c r="B71" s="309"/>
      <c r="C71" s="351"/>
      <c r="D71" s="309"/>
      <c r="E71" s="309"/>
      <c r="F71" s="309"/>
      <c r="G71" s="309"/>
      <c r="H71" s="309"/>
      <c r="I71" s="309"/>
      <c r="J71" s="309"/>
      <c r="K71" s="309"/>
      <c r="L71" s="309"/>
      <c r="M71" s="309"/>
      <c r="N71" s="309"/>
      <c r="O71" s="309"/>
      <c r="P71" s="309"/>
      <c r="Q71" s="309"/>
      <c r="R71" s="309"/>
      <c r="S71" s="309"/>
      <c r="T71" s="309"/>
      <c r="U71" s="309"/>
      <c r="V71" s="309"/>
      <c r="W71" s="308"/>
      <c r="X71" s="308"/>
      <c r="Y71" s="306"/>
      <c r="Z71" s="306"/>
      <c r="AA71" s="306"/>
      <c r="AB71" s="306"/>
      <c r="AC71" s="306"/>
      <c r="AD71" s="306"/>
      <c r="AE71" s="306"/>
      <c r="AF71" s="306"/>
      <c r="AG71" s="306"/>
      <c r="AH71" s="306"/>
      <c r="AI71" s="306"/>
      <c r="AJ71" s="306"/>
      <c r="AK71" s="306"/>
      <c r="AL71" s="306"/>
      <c r="AM71" s="306"/>
      <c r="AN71" s="306"/>
      <c r="AO71" s="308"/>
      <c r="AP71" s="308"/>
      <c r="AQ71" s="308"/>
      <c r="AR71" s="308"/>
      <c r="AS71" s="308"/>
      <c r="AT71" s="308"/>
      <c r="AU71" s="308"/>
      <c r="AV71" s="308"/>
      <c r="AW71" s="308"/>
      <c r="AX71" s="308"/>
      <c r="AY71" s="308"/>
      <c r="AZ71" s="308"/>
      <c r="BA71" s="308"/>
      <c r="BB71" s="308"/>
      <c r="BC71" s="308"/>
      <c r="BD71" s="308"/>
      <c r="BE71" s="308"/>
      <c r="BF71" s="308"/>
      <c r="BG71" s="308"/>
      <c r="BH71" s="308"/>
      <c r="BI71" s="308"/>
      <c r="BJ71" s="308"/>
      <c r="BK71" s="308"/>
      <c r="BL71" s="308"/>
      <c r="BM71" s="308"/>
      <c r="BN71" s="308"/>
      <c r="BO71" s="308"/>
      <c r="BP71" s="308"/>
      <c r="BQ71" s="308"/>
      <c r="BR71" s="308"/>
      <c r="BS71" s="308"/>
      <c r="BT71" s="308"/>
      <c r="BU71" s="308"/>
      <c r="BV71" s="308"/>
      <c r="BW71" s="308"/>
      <c r="BX71" s="308"/>
      <c r="BY71" s="308"/>
      <c r="BZ71" s="308"/>
      <c r="CA71" s="308"/>
      <c r="CB71" s="308"/>
      <c r="CC71" s="308"/>
      <c r="CD71" s="308"/>
      <c r="CE71" s="308"/>
      <c r="CF71" s="308"/>
      <c r="CG71" s="308"/>
      <c r="CH71" s="308"/>
      <c r="CI71" s="308"/>
      <c r="CJ71" s="308"/>
    </row>
    <row r="72" spans="1:88" x14ac:dyDescent="0.25">
      <c r="A72" s="308"/>
      <c r="B72" s="309"/>
      <c r="C72" s="351"/>
      <c r="D72" s="309"/>
      <c r="E72" s="309"/>
      <c r="F72" s="309"/>
      <c r="G72" s="309"/>
      <c r="H72" s="309"/>
      <c r="I72" s="309"/>
      <c r="J72" s="309"/>
      <c r="K72" s="309"/>
      <c r="L72" s="309"/>
      <c r="M72" s="309"/>
      <c r="N72" s="309"/>
      <c r="O72" s="309"/>
      <c r="P72" s="309"/>
      <c r="Q72" s="309"/>
      <c r="R72" s="309"/>
      <c r="S72" s="309"/>
      <c r="T72" s="309"/>
      <c r="U72" s="309"/>
      <c r="V72" s="309"/>
      <c r="W72" s="308"/>
      <c r="X72" s="308"/>
      <c r="Y72" s="306"/>
      <c r="Z72" s="306"/>
      <c r="AA72" s="306"/>
      <c r="AB72" s="306"/>
      <c r="AC72" s="306"/>
      <c r="AD72" s="306"/>
      <c r="AE72" s="306"/>
      <c r="AF72" s="306"/>
      <c r="AG72" s="306"/>
      <c r="AH72" s="306"/>
      <c r="AI72" s="306"/>
      <c r="AJ72" s="306"/>
      <c r="AK72" s="306"/>
      <c r="AL72" s="306"/>
      <c r="AM72" s="306"/>
      <c r="AN72" s="306"/>
      <c r="AO72" s="308"/>
      <c r="AP72" s="308"/>
      <c r="AQ72" s="308"/>
      <c r="AR72" s="308"/>
      <c r="AS72" s="308"/>
      <c r="AT72" s="308"/>
      <c r="AU72" s="308"/>
      <c r="AV72" s="308"/>
      <c r="AW72" s="308"/>
      <c r="AX72" s="308"/>
      <c r="AY72" s="308"/>
      <c r="AZ72" s="308"/>
      <c r="BA72" s="308"/>
      <c r="BB72" s="308"/>
      <c r="BC72" s="308"/>
      <c r="BD72" s="308"/>
      <c r="BE72" s="308"/>
      <c r="BF72" s="308"/>
      <c r="BG72" s="308"/>
      <c r="BH72" s="308"/>
      <c r="BI72" s="308"/>
      <c r="BJ72" s="308"/>
      <c r="BK72" s="308"/>
      <c r="BL72" s="308"/>
      <c r="BM72" s="308"/>
      <c r="BN72" s="308"/>
      <c r="BO72" s="308"/>
      <c r="BP72" s="308"/>
      <c r="BQ72" s="308"/>
      <c r="BR72" s="308"/>
      <c r="BS72" s="308"/>
      <c r="BT72" s="308"/>
      <c r="BU72" s="308"/>
      <c r="BV72" s="308"/>
      <c r="BW72" s="308"/>
      <c r="BX72" s="308"/>
      <c r="BY72" s="308"/>
      <c r="BZ72" s="308"/>
      <c r="CA72" s="308"/>
      <c r="CB72" s="308"/>
      <c r="CC72" s="308"/>
      <c r="CD72" s="308"/>
      <c r="CE72" s="308"/>
      <c r="CF72" s="308"/>
      <c r="CG72" s="308"/>
      <c r="CH72" s="308"/>
      <c r="CI72" s="308"/>
      <c r="CJ72" s="308"/>
    </row>
    <row r="73" spans="1:88" x14ac:dyDescent="0.25">
      <c r="A73" s="308"/>
      <c r="B73" s="309"/>
      <c r="D73" s="309"/>
      <c r="E73" s="309"/>
      <c r="F73" s="309"/>
      <c r="G73" s="309"/>
      <c r="H73" s="309"/>
      <c r="I73" s="309"/>
      <c r="J73" s="309"/>
      <c r="K73" s="309"/>
      <c r="L73" s="309"/>
      <c r="M73" s="309"/>
      <c r="N73" s="309"/>
      <c r="O73" s="309"/>
      <c r="P73" s="309"/>
      <c r="Q73" s="309"/>
      <c r="R73" s="309"/>
      <c r="S73" s="309"/>
      <c r="T73" s="309"/>
      <c r="U73" s="309"/>
      <c r="V73" s="309"/>
      <c r="W73" s="308"/>
      <c r="X73" s="308"/>
      <c r="Y73" s="306"/>
      <c r="Z73" s="306"/>
      <c r="AA73" s="306"/>
      <c r="AB73" s="306"/>
      <c r="AC73" s="306"/>
      <c r="AD73" s="306"/>
      <c r="AE73" s="306"/>
      <c r="AF73" s="306"/>
      <c r="AG73" s="306"/>
      <c r="AH73" s="306"/>
      <c r="AI73" s="306"/>
      <c r="AJ73" s="306"/>
      <c r="AK73" s="306"/>
      <c r="AL73" s="306"/>
      <c r="AM73" s="306"/>
      <c r="AN73" s="306"/>
      <c r="AO73" s="308"/>
      <c r="AP73" s="308"/>
      <c r="AQ73" s="308"/>
      <c r="AR73" s="308"/>
      <c r="AS73" s="308"/>
      <c r="AT73" s="308"/>
      <c r="AU73" s="308"/>
      <c r="AV73" s="308"/>
      <c r="AW73" s="308"/>
      <c r="AX73" s="308"/>
      <c r="AY73" s="308"/>
      <c r="AZ73" s="308"/>
      <c r="BA73" s="308"/>
      <c r="BB73" s="308"/>
      <c r="BC73" s="308"/>
      <c r="BD73" s="308"/>
      <c r="BE73" s="308"/>
      <c r="BF73" s="308"/>
      <c r="BG73" s="308"/>
      <c r="BH73" s="308"/>
      <c r="BI73" s="308"/>
      <c r="BJ73" s="308"/>
      <c r="BK73" s="308"/>
      <c r="BL73" s="308"/>
      <c r="BM73" s="308"/>
      <c r="BN73" s="308"/>
      <c r="BO73" s="308"/>
      <c r="BP73" s="308"/>
      <c r="BQ73" s="308"/>
      <c r="BR73" s="308"/>
      <c r="BS73" s="308"/>
      <c r="BT73" s="308"/>
      <c r="BU73" s="308"/>
      <c r="BV73" s="308"/>
      <c r="BW73" s="308"/>
      <c r="BX73" s="308"/>
      <c r="BY73" s="308"/>
      <c r="BZ73" s="308"/>
      <c r="CA73" s="308"/>
      <c r="CB73" s="308"/>
      <c r="CC73" s="308"/>
      <c r="CD73" s="308"/>
      <c r="CE73" s="308"/>
      <c r="CF73" s="308"/>
      <c r="CG73" s="308"/>
      <c r="CH73" s="308"/>
      <c r="CI73" s="308"/>
      <c r="CJ73" s="308"/>
    </row>
    <row r="74" spans="1:88" x14ac:dyDescent="0.25">
      <c r="A74" s="308"/>
      <c r="B74" s="309"/>
      <c r="D74" s="309"/>
      <c r="E74" s="309"/>
      <c r="F74" s="309"/>
      <c r="G74" s="309"/>
      <c r="H74" s="309"/>
      <c r="I74" s="309"/>
      <c r="J74" s="309"/>
      <c r="K74" s="309"/>
      <c r="L74" s="309"/>
      <c r="M74" s="309"/>
      <c r="N74" s="309"/>
      <c r="O74" s="309"/>
      <c r="P74" s="309"/>
      <c r="Q74" s="309"/>
      <c r="R74" s="309"/>
      <c r="S74" s="309"/>
      <c r="T74" s="309"/>
      <c r="U74" s="309"/>
      <c r="V74" s="309"/>
      <c r="W74" s="308"/>
      <c r="X74" s="308"/>
      <c r="Y74" s="306"/>
      <c r="Z74" s="306"/>
      <c r="AA74" s="306"/>
      <c r="AB74" s="306"/>
      <c r="AC74" s="306"/>
      <c r="AD74" s="306"/>
      <c r="AE74" s="306"/>
      <c r="AF74" s="306"/>
      <c r="AG74" s="306"/>
      <c r="AH74" s="306"/>
      <c r="AI74" s="306"/>
      <c r="AJ74" s="306"/>
      <c r="AK74" s="306"/>
      <c r="AL74" s="306"/>
      <c r="AM74" s="306"/>
      <c r="AN74" s="306"/>
      <c r="AO74" s="308"/>
      <c r="AP74" s="308"/>
      <c r="AQ74" s="308"/>
      <c r="AR74" s="308"/>
      <c r="AS74" s="308"/>
      <c r="AT74" s="308"/>
      <c r="AU74" s="308"/>
      <c r="AV74" s="308"/>
      <c r="AW74" s="308"/>
      <c r="AX74" s="308"/>
      <c r="AY74" s="308"/>
      <c r="AZ74" s="308"/>
      <c r="BA74" s="308"/>
      <c r="BB74" s="308"/>
      <c r="BC74" s="308"/>
      <c r="BD74" s="308"/>
      <c r="BE74" s="308"/>
      <c r="BF74" s="308"/>
      <c r="BG74" s="308"/>
      <c r="BH74" s="308"/>
      <c r="BI74" s="308"/>
      <c r="BJ74" s="308"/>
      <c r="BK74" s="308"/>
      <c r="BL74" s="308"/>
      <c r="BM74" s="308"/>
      <c r="BN74" s="308"/>
      <c r="BO74" s="308"/>
      <c r="BP74" s="308"/>
      <c r="BQ74" s="308"/>
      <c r="BR74" s="308"/>
      <c r="BS74" s="308"/>
      <c r="BT74" s="308"/>
      <c r="BU74" s="308"/>
      <c r="BV74" s="308"/>
      <c r="BW74" s="308"/>
      <c r="BX74" s="308"/>
      <c r="BY74" s="308"/>
      <c r="BZ74" s="308"/>
      <c r="CA74" s="308"/>
      <c r="CB74" s="308"/>
      <c r="CC74" s="308"/>
      <c r="CD74" s="308"/>
      <c r="CE74" s="308"/>
      <c r="CF74" s="308"/>
      <c r="CG74" s="308"/>
      <c r="CH74" s="308"/>
      <c r="CI74" s="308"/>
      <c r="CJ74" s="308"/>
    </row>
    <row r="75" spans="1:88" x14ac:dyDescent="0.25">
      <c r="A75" s="308"/>
      <c r="B75" s="309"/>
      <c r="D75" s="309"/>
      <c r="E75" s="309"/>
      <c r="F75" s="309"/>
      <c r="G75" s="309"/>
      <c r="H75" s="309"/>
      <c r="I75" s="309"/>
      <c r="J75" s="309"/>
      <c r="K75" s="309"/>
      <c r="L75" s="309"/>
      <c r="M75" s="309"/>
      <c r="N75" s="309"/>
      <c r="O75" s="309"/>
      <c r="P75" s="309"/>
      <c r="Q75" s="309"/>
      <c r="R75" s="309"/>
      <c r="S75" s="309"/>
      <c r="T75" s="309"/>
      <c r="U75" s="309"/>
      <c r="V75" s="309"/>
      <c r="W75" s="308"/>
      <c r="X75" s="308"/>
      <c r="Y75" s="306"/>
      <c r="Z75" s="306"/>
      <c r="AA75" s="306"/>
      <c r="AB75" s="306"/>
      <c r="AC75" s="306"/>
      <c r="AD75" s="306"/>
      <c r="AE75" s="306"/>
      <c r="AF75" s="306"/>
      <c r="AG75" s="306"/>
      <c r="AH75" s="306"/>
      <c r="AI75" s="306"/>
      <c r="AJ75" s="306"/>
      <c r="AK75" s="306"/>
      <c r="AL75" s="306"/>
      <c r="AM75" s="306"/>
      <c r="AN75" s="306"/>
      <c r="AO75" s="308"/>
      <c r="AP75" s="308"/>
      <c r="AQ75" s="308"/>
      <c r="AR75" s="308"/>
      <c r="AS75" s="308"/>
      <c r="AT75" s="308"/>
      <c r="AU75" s="308"/>
      <c r="AV75" s="308"/>
      <c r="AW75" s="308"/>
      <c r="AX75" s="308"/>
      <c r="AY75" s="308"/>
      <c r="AZ75" s="308"/>
      <c r="BA75" s="308"/>
      <c r="BB75" s="308"/>
      <c r="BC75" s="308"/>
      <c r="BD75" s="308"/>
      <c r="BE75" s="308"/>
      <c r="BF75" s="308"/>
      <c r="BG75" s="308"/>
      <c r="BH75" s="308"/>
      <c r="BI75" s="308"/>
      <c r="BJ75" s="308"/>
      <c r="BK75" s="308"/>
      <c r="BL75" s="308"/>
      <c r="BM75" s="308"/>
      <c r="BN75" s="308"/>
      <c r="BO75" s="308"/>
      <c r="BP75" s="308"/>
      <c r="BQ75" s="308"/>
      <c r="BR75" s="308"/>
      <c r="BS75" s="308"/>
      <c r="BT75" s="308"/>
      <c r="BU75" s="308"/>
      <c r="BV75" s="308"/>
      <c r="BW75" s="308"/>
      <c r="BX75" s="308"/>
      <c r="BY75" s="308"/>
      <c r="BZ75" s="308"/>
      <c r="CA75" s="308"/>
      <c r="CB75" s="308"/>
      <c r="CC75" s="308"/>
      <c r="CD75" s="308"/>
      <c r="CE75" s="308"/>
      <c r="CF75" s="308"/>
      <c r="CG75" s="308"/>
      <c r="CH75" s="308"/>
      <c r="CI75" s="308"/>
      <c r="CJ75" s="308"/>
    </row>
    <row r="76" spans="1:88" x14ac:dyDescent="0.25">
      <c r="A76" s="308"/>
      <c r="B76" s="309"/>
      <c r="D76" s="309"/>
      <c r="E76" s="309"/>
      <c r="F76" s="309"/>
      <c r="G76" s="309"/>
      <c r="H76" s="309"/>
      <c r="I76" s="309"/>
      <c r="J76" s="309"/>
      <c r="K76" s="309"/>
      <c r="L76" s="309"/>
      <c r="M76" s="309"/>
      <c r="N76" s="309"/>
      <c r="O76" s="309"/>
      <c r="P76" s="309"/>
      <c r="Q76" s="309"/>
      <c r="R76" s="309"/>
      <c r="S76" s="309"/>
      <c r="T76" s="309"/>
      <c r="U76" s="309"/>
      <c r="V76" s="309"/>
      <c r="W76" s="308"/>
      <c r="X76" s="308"/>
      <c r="Y76" s="306"/>
      <c r="Z76" s="306"/>
      <c r="AA76" s="306"/>
      <c r="AB76" s="306"/>
      <c r="AC76" s="306"/>
      <c r="AD76" s="306"/>
      <c r="AE76" s="306"/>
      <c r="AF76" s="306"/>
      <c r="AG76" s="306"/>
      <c r="AH76" s="306"/>
      <c r="AI76" s="306"/>
      <c r="AJ76" s="306"/>
      <c r="AK76" s="306"/>
      <c r="AL76" s="306"/>
      <c r="AM76" s="306"/>
      <c r="AN76" s="306"/>
      <c r="AO76" s="308"/>
      <c r="AP76" s="308"/>
      <c r="AQ76" s="308"/>
      <c r="AR76" s="308"/>
      <c r="AS76" s="308"/>
      <c r="AT76" s="308"/>
      <c r="AU76" s="308"/>
      <c r="AV76" s="308"/>
      <c r="AW76" s="308"/>
      <c r="AX76" s="308"/>
      <c r="AY76" s="308"/>
      <c r="AZ76" s="308"/>
      <c r="BA76" s="308"/>
      <c r="BB76" s="308"/>
      <c r="BC76" s="308"/>
      <c r="BD76" s="308"/>
      <c r="BE76" s="308"/>
      <c r="BF76" s="308"/>
      <c r="BG76" s="308"/>
      <c r="BH76" s="308"/>
      <c r="BI76" s="308"/>
      <c r="BJ76" s="308"/>
      <c r="BK76" s="308"/>
      <c r="BL76" s="308"/>
      <c r="BM76" s="308"/>
      <c r="BN76" s="308"/>
      <c r="BO76" s="308"/>
      <c r="BP76" s="308"/>
      <c r="BQ76" s="308"/>
      <c r="BR76" s="308"/>
      <c r="BS76" s="308"/>
      <c r="BT76" s="308"/>
      <c r="BU76" s="308"/>
      <c r="BV76" s="308"/>
      <c r="BW76" s="308"/>
      <c r="BX76" s="308"/>
      <c r="BY76" s="308"/>
      <c r="BZ76" s="308"/>
      <c r="CA76" s="308"/>
      <c r="CB76" s="308"/>
      <c r="CC76" s="308"/>
      <c r="CD76" s="308"/>
      <c r="CE76" s="308"/>
      <c r="CF76" s="308"/>
      <c r="CG76" s="308"/>
      <c r="CH76" s="308"/>
      <c r="CI76" s="308"/>
      <c r="CJ76" s="308"/>
    </row>
    <row r="77" spans="1:88" x14ac:dyDescent="0.25">
      <c r="A77" s="308"/>
      <c r="B77" s="351"/>
      <c r="D77" s="351"/>
      <c r="E77" s="351"/>
      <c r="F77" s="351"/>
      <c r="G77" s="351"/>
      <c r="H77" s="351"/>
      <c r="I77" s="351"/>
      <c r="J77" s="351"/>
      <c r="K77" s="351"/>
      <c r="L77" s="351"/>
      <c r="M77" s="351"/>
      <c r="N77" s="351"/>
      <c r="O77" s="351"/>
      <c r="P77" s="351"/>
      <c r="Q77" s="351"/>
      <c r="R77" s="351"/>
      <c r="S77" s="351"/>
      <c r="T77" s="351"/>
      <c r="U77" s="351"/>
      <c r="V77" s="351"/>
      <c r="W77" s="308"/>
      <c r="X77" s="308"/>
      <c r="Y77" s="306"/>
      <c r="Z77" s="306"/>
      <c r="AA77" s="306"/>
      <c r="AB77" s="306"/>
      <c r="AC77" s="306"/>
      <c r="AD77" s="306"/>
      <c r="AE77" s="306"/>
      <c r="AF77" s="306"/>
      <c r="AG77" s="306"/>
      <c r="AH77" s="306"/>
      <c r="AI77" s="306"/>
      <c r="AJ77" s="306"/>
      <c r="AK77" s="306"/>
      <c r="AL77" s="306"/>
      <c r="AM77" s="306"/>
      <c r="AN77" s="306"/>
      <c r="AO77" s="308"/>
      <c r="AP77" s="308"/>
      <c r="AQ77" s="308"/>
      <c r="AR77" s="308"/>
      <c r="AS77" s="308"/>
      <c r="AT77" s="308"/>
      <c r="AU77" s="308"/>
      <c r="AV77" s="308"/>
      <c r="AW77" s="308"/>
      <c r="AX77" s="308"/>
      <c r="AY77" s="308"/>
      <c r="AZ77" s="308"/>
      <c r="BA77" s="308"/>
      <c r="BB77" s="308"/>
      <c r="BC77" s="308"/>
      <c r="BD77" s="308"/>
      <c r="BE77" s="308"/>
      <c r="BF77" s="308"/>
      <c r="BG77" s="308"/>
      <c r="BH77" s="308"/>
      <c r="BI77" s="308"/>
      <c r="BJ77" s="308"/>
      <c r="BK77" s="308"/>
      <c r="BL77" s="308"/>
      <c r="BM77" s="308"/>
      <c r="BN77" s="308"/>
      <c r="BO77" s="308"/>
      <c r="BP77" s="308"/>
    </row>
    <row r="78" spans="1:88" x14ac:dyDescent="0.25">
      <c r="A78" s="308"/>
      <c r="B78" s="351"/>
      <c r="D78" s="351"/>
      <c r="E78" s="351"/>
      <c r="F78" s="351"/>
      <c r="G78" s="351"/>
      <c r="H78" s="351"/>
      <c r="I78" s="351"/>
      <c r="J78" s="351"/>
      <c r="K78" s="351"/>
      <c r="L78" s="351"/>
      <c r="M78" s="351"/>
      <c r="N78" s="351"/>
      <c r="O78" s="351"/>
      <c r="P78" s="351"/>
      <c r="Q78" s="351"/>
      <c r="R78" s="351"/>
      <c r="S78" s="351"/>
      <c r="T78" s="351"/>
      <c r="U78" s="351"/>
      <c r="V78" s="351"/>
      <c r="W78" s="308"/>
      <c r="X78" s="308"/>
      <c r="Y78" s="306"/>
      <c r="Z78" s="306"/>
      <c r="AA78" s="306"/>
      <c r="AB78" s="306"/>
      <c r="AC78" s="306"/>
      <c r="AD78" s="306"/>
      <c r="AE78" s="306"/>
      <c r="AF78" s="306"/>
      <c r="AG78" s="306"/>
      <c r="AH78" s="306"/>
      <c r="AI78" s="306"/>
      <c r="AJ78" s="306"/>
      <c r="AK78" s="306"/>
      <c r="AL78" s="306"/>
      <c r="AM78" s="306"/>
      <c r="AN78" s="306"/>
      <c r="AO78" s="308"/>
      <c r="AP78" s="308"/>
      <c r="AQ78" s="308"/>
      <c r="AR78" s="308"/>
      <c r="AS78" s="308"/>
      <c r="AT78" s="308"/>
      <c r="AU78" s="308"/>
      <c r="AV78" s="308"/>
      <c r="AW78" s="308"/>
      <c r="AX78" s="308"/>
      <c r="AY78" s="308"/>
      <c r="AZ78" s="308"/>
      <c r="BA78" s="308"/>
      <c r="BB78" s="308"/>
      <c r="BC78" s="308"/>
      <c r="BD78" s="308"/>
      <c r="BE78" s="308"/>
      <c r="BF78" s="308"/>
      <c r="BG78" s="308"/>
      <c r="BH78" s="308"/>
      <c r="BI78" s="308"/>
      <c r="BJ78" s="308"/>
      <c r="BK78" s="308"/>
      <c r="BL78" s="308"/>
      <c r="BM78" s="308"/>
      <c r="BN78" s="308"/>
      <c r="BO78" s="308"/>
      <c r="BP78" s="308"/>
    </row>
    <row r="79" spans="1:88" x14ac:dyDescent="0.25">
      <c r="A79" s="308"/>
      <c r="B79" s="351"/>
      <c r="D79" s="351"/>
      <c r="E79" s="351"/>
      <c r="F79" s="351"/>
      <c r="G79" s="351"/>
      <c r="H79" s="351"/>
      <c r="I79" s="351"/>
      <c r="J79" s="351"/>
      <c r="K79" s="351"/>
      <c r="L79" s="351"/>
      <c r="M79" s="351"/>
      <c r="N79" s="351"/>
      <c r="O79" s="351"/>
      <c r="P79" s="351"/>
      <c r="Q79" s="351"/>
      <c r="R79" s="351"/>
      <c r="S79" s="351"/>
      <c r="T79" s="351"/>
      <c r="U79" s="351"/>
      <c r="V79" s="351"/>
      <c r="W79" s="308"/>
      <c r="X79" s="308"/>
      <c r="Y79" s="306"/>
      <c r="Z79" s="306"/>
      <c r="AA79" s="306"/>
      <c r="AB79" s="306"/>
      <c r="AC79" s="306"/>
      <c r="AD79" s="306"/>
      <c r="AE79" s="306"/>
      <c r="AF79" s="306"/>
      <c r="AG79" s="306"/>
      <c r="AH79" s="306"/>
      <c r="AI79" s="306"/>
      <c r="AJ79" s="306"/>
      <c r="AK79" s="306"/>
      <c r="AL79" s="306"/>
      <c r="AM79" s="306"/>
      <c r="AN79" s="306"/>
      <c r="AO79" s="308"/>
      <c r="AP79" s="308"/>
      <c r="AQ79" s="308"/>
      <c r="AR79" s="308"/>
      <c r="AS79" s="308"/>
      <c r="AT79" s="308"/>
      <c r="AU79" s="308"/>
      <c r="AV79" s="308"/>
      <c r="AW79" s="308"/>
      <c r="AX79" s="308"/>
      <c r="AY79" s="308"/>
      <c r="AZ79" s="308"/>
      <c r="BA79" s="308"/>
      <c r="BB79" s="308"/>
      <c r="BC79" s="308"/>
      <c r="BD79" s="308"/>
      <c r="BE79" s="308"/>
      <c r="BF79" s="308"/>
      <c r="BG79" s="308"/>
      <c r="BH79" s="308"/>
      <c r="BI79" s="308"/>
      <c r="BJ79" s="308"/>
      <c r="BK79" s="308"/>
      <c r="BL79" s="308"/>
      <c r="BM79" s="308"/>
      <c r="BN79" s="308"/>
      <c r="BO79" s="308"/>
      <c r="BP79" s="308"/>
    </row>
    <row r="80" spans="1:88" x14ac:dyDescent="0.25">
      <c r="A80" s="308"/>
      <c r="W80" s="308"/>
      <c r="X80" s="308"/>
      <c r="Y80" s="306"/>
      <c r="Z80" s="306"/>
      <c r="AA80" s="306"/>
      <c r="AB80" s="306"/>
      <c r="AC80" s="306"/>
      <c r="AD80" s="306"/>
      <c r="AE80" s="306"/>
      <c r="AF80" s="306"/>
      <c r="AG80" s="306"/>
      <c r="AH80" s="306"/>
      <c r="AI80" s="306"/>
      <c r="AJ80" s="306"/>
      <c r="AK80" s="306"/>
      <c r="AL80" s="306"/>
      <c r="AM80" s="306"/>
      <c r="AN80" s="306"/>
      <c r="AO80" s="308"/>
      <c r="AP80" s="308"/>
      <c r="AQ80" s="308"/>
      <c r="AR80" s="308"/>
      <c r="AS80" s="308"/>
      <c r="AT80" s="308"/>
      <c r="AU80" s="308"/>
      <c r="AV80" s="308"/>
      <c r="AW80" s="308"/>
      <c r="AX80" s="308"/>
      <c r="AY80" s="308"/>
      <c r="AZ80" s="308"/>
      <c r="BA80" s="308"/>
      <c r="BB80" s="308"/>
      <c r="BC80" s="308"/>
      <c r="BD80" s="308"/>
      <c r="BE80" s="308"/>
      <c r="BF80" s="308"/>
      <c r="BG80" s="308"/>
      <c r="BH80" s="308"/>
      <c r="BI80" s="308"/>
      <c r="BJ80" s="308"/>
      <c r="BK80" s="308"/>
      <c r="BL80" s="308"/>
      <c r="BM80" s="308"/>
      <c r="BN80" s="308"/>
      <c r="BO80" s="308"/>
      <c r="BP80" s="308"/>
    </row>
    <row r="81" spans="1:68" x14ac:dyDescent="0.25">
      <c r="A81" s="308"/>
      <c r="W81" s="308"/>
      <c r="X81" s="308"/>
      <c r="Y81" s="306"/>
      <c r="Z81" s="306"/>
      <c r="AA81" s="306"/>
      <c r="AB81" s="306"/>
      <c r="AC81" s="306"/>
      <c r="AD81" s="306"/>
      <c r="AE81" s="306"/>
      <c r="AF81" s="306"/>
      <c r="AG81" s="306"/>
      <c r="AH81" s="306"/>
      <c r="AI81" s="306"/>
      <c r="AJ81" s="306"/>
      <c r="AK81" s="306"/>
      <c r="AL81" s="306"/>
      <c r="AM81" s="306"/>
      <c r="AN81" s="306"/>
      <c r="AO81" s="308"/>
      <c r="AP81" s="308"/>
      <c r="AQ81" s="308"/>
      <c r="AR81" s="308"/>
      <c r="AS81" s="308"/>
      <c r="AT81" s="308"/>
      <c r="AU81" s="308"/>
      <c r="AV81" s="308"/>
      <c r="AW81" s="308"/>
      <c r="AX81" s="308"/>
      <c r="AY81" s="308"/>
      <c r="AZ81" s="308"/>
      <c r="BA81" s="308"/>
      <c r="BB81" s="308"/>
      <c r="BC81" s="308"/>
      <c r="BD81" s="308"/>
      <c r="BE81" s="308"/>
      <c r="BF81" s="308"/>
      <c r="BG81" s="308"/>
      <c r="BH81" s="308"/>
      <c r="BI81" s="308"/>
      <c r="BJ81" s="308"/>
      <c r="BK81" s="308"/>
      <c r="BL81" s="308"/>
      <c r="BM81" s="308"/>
      <c r="BN81" s="308"/>
      <c r="BO81" s="308"/>
      <c r="BP81" s="308"/>
    </row>
    <row r="82" spans="1:68" x14ac:dyDescent="0.25">
      <c r="A82" s="308"/>
      <c r="W82" s="308"/>
      <c r="X82" s="308"/>
      <c r="Y82" s="306"/>
      <c r="Z82" s="306"/>
      <c r="AA82" s="306"/>
      <c r="AB82" s="306"/>
      <c r="AC82" s="306"/>
      <c r="AD82" s="306"/>
      <c r="AE82" s="306"/>
      <c r="AF82" s="306"/>
      <c r="AG82" s="306"/>
      <c r="AH82" s="306"/>
      <c r="AI82" s="306"/>
      <c r="AJ82" s="306"/>
      <c r="AK82" s="306"/>
      <c r="AL82" s="306"/>
      <c r="AM82" s="306"/>
      <c r="AN82" s="306"/>
      <c r="AO82" s="308"/>
      <c r="AP82" s="308"/>
      <c r="AQ82" s="308"/>
      <c r="AR82" s="308"/>
      <c r="AS82" s="308"/>
      <c r="AT82" s="308"/>
      <c r="AU82" s="308"/>
      <c r="AV82" s="308"/>
      <c r="AW82" s="308"/>
      <c r="AX82" s="308"/>
      <c r="AY82" s="308"/>
      <c r="AZ82" s="308"/>
      <c r="BA82" s="308"/>
      <c r="BB82" s="308"/>
      <c r="BC82" s="308"/>
      <c r="BD82" s="308"/>
      <c r="BE82" s="308"/>
      <c r="BF82" s="308"/>
      <c r="BG82" s="308"/>
      <c r="BH82" s="308"/>
      <c r="BI82" s="308"/>
      <c r="BJ82" s="308"/>
      <c r="BK82" s="308"/>
      <c r="BL82" s="308"/>
      <c r="BM82" s="308"/>
      <c r="BN82" s="308"/>
      <c r="BO82" s="308"/>
      <c r="BP82" s="308"/>
    </row>
    <row r="83" spans="1:68" x14ac:dyDescent="0.25">
      <c r="A83" s="308"/>
      <c r="W83" s="308"/>
      <c r="X83" s="308"/>
      <c r="Y83" s="306"/>
      <c r="Z83" s="306"/>
      <c r="AA83" s="306"/>
      <c r="AB83" s="306"/>
      <c r="AC83" s="306"/>
      <c r="AD83" s="306"/>
      <c r="AE83" s="306"/>
      <c r="AF83" s="306"/>
      <c r="AG83" s="306"/>
      <c r="AH83" s="306"/>
      <c r="AI83" s="306"/>
      <c r="AJ83" s="306"/>
      <c r="AK83" s="306"/>
      <c r="AL83" s="306"/>
      <c r="AM83" s="306"/>
      <c r="AN83" s="306"/>
      <c r="AO83" s="308"/>
      <c r="AP83" s="308"/>
      <c r="AQ83" s="308"/>
      <c r="AR83" s="308"/>
      <c r="AS83" s="308"/>
      <c r="AT83" s="308"/>
      <c r="AU83" s="308"/>
      <c r="AV83" s="308"/>
      <c r="AW83" s="308"/>
      <c r="AX83" s="308"/>
      <c r="AY83" s="308"/>
      <c r="AZ83" s="308"/>
      <c r="BA83" s="308"/>
      <c r="BB83" s="308"/>
      <c r="BC83" s="308"/>
      <c r="BD83" s="308"/>
      <c r="BE83" s="308"/>
      <c r="BF83" s="308"/>
      <c r="BG83" s="308"/>
      <c r="BH83" s="308"/>
      <c r="BI83" s="308"/>
      <c r="BJ83" s="308"/>
      <c r="BK83" s="308"/>
      <c r="BL83" s="308"/>
      <c r="BM83" s="308"/>
      <c r="BN83" s="308"/>
      <c r="BO83" s="308"/>
      <c r="BP83" s="308"/>
    </row>
    <row r="84" spans="1:68" x14ac:dyDescent="0.25">
      <c r="A84" s="308"/>
      <c r="W84" s="308"/>
      <c r="X84" s="308"/>
      <c r="Y84" s="306"/>
      <c r="Z84" s="306"/>
      <c r="AA84" s="306"/>
      <c r="AB84" s="306"/>
      <c r="AC84" s="306"/>
      <c r="AD84" s="306"/>
      <c r="AE84" s="306"/>
      <c r="AF84" s="306"/>
      <c r="AG84" s="306"/>
      <c r="AH84" s="306"/>
      <c r="AI84" s="306"/>
      <c r="AJ84" s="306"/>
      <c r="AK84" s="306"/>
      <c r="AL84" s="306"/>
      <c r="AM84" s="306"/>
      <c r="AN84" s="306"/>
      <c r="AO84" s="308"/>
      <c r="AP84" s="308"/>
      <c r="AQ84" s="308"/>
      <c r="AR84" s="308"/>
      <c r="AS84" s="308"/>
      <c r="AT84" s="308"/>
      <c r="AU84" s="308"/>
      <c r="AV84" s="308"/>
      <c r="AW84" s="308"/>
      <c r="AX84" s="308"/>
      <c r="AY84" s="308"/>
      <c r="AZ84" s="308"/>
      <c r="BA84" s="308"/>
      <c r="BB84" s="308"/>
      <c r="BC84" s="308"/>
      <c r="BD84" s="308"/>
      <c r="BE84" s="308"/>
      <c r="BF84" s="308"/>
      <c r="BG84" s="308"/>
      <c r="BH84" s="308"/>
      <c r="BI84" s="308"/>
      <c r="BJ84" s="308"/>
      <c r="BK84" s="308"/>
      <c r="BL84" s="308"/>
      <c r="BM84" s="308"/>
      <c r="BN84" s="308"/>
      <c r="BO84" s="308"/>
      <c r="BP84" s="308"/>
    </row>
    <row r="85" spans="1:68" x14ac:dyDescent="0.25">
      <c r="A85" s="308"/>
      <c r="W85" s="308"/>
      <c r="X85" s="308"/>
      <c r="Y85" s="306"/>
      <c r="Z85" s="306"/>
      <c r="AA85" s="306"/>
      <c r="AB85" s="306"/>
      <c r="AC85" s="306"/>
      <c r="AD85" s="306"/>
      <c r="AE85" s="306"/>
      <c r="AF85" s="306"/>
      <c r="AG85" s="306"/>
      <c r="AH85" s="306"/>
      <c r="AI85" s="306"/>
      <c r="AJ85" s="306"/>
      <c r="AK85" s="306"/>
      <c r="AL85" s="306"/>
      <c r="AM85" s="306"/>
      <c r="AN85" s="306"/>
      <c r="AO85" s="308"/>
      <c r="AP85" s="308"/>
      <c r="AQ85" s="308"/>
      <c r="AR85" s="308"/>
      <c r="AS85" s="308"/>
      <c r="AT85" s="308"/>
      <c r="AU85" s="308"/>
      <c r="AV85" s="308"/>
      <c r="AW85" s="308"/>
      <c r="AX85" s="308"/>
      <c r="AY85" s="308"/>
      <c r="AZ85" s="308"/>
      <c r="BA85" s="308"/>
      <c r="BB85" s="308"/>
      <c r="BC85" s="308"/>
      <c r="BD85" s="308"/>
      <c r="BE85" s="308"/>
      <c r="BF85" s="308"/>
      <c r="BG85" s="308"/>
      <c r="BH85" s="308"/>
      <c r="BI85" s="308"/>
      <c r="BJ85" s="308"/>
      <c r="BK85" s="308"/>
      <c r="BL85" s="308"/>
      <c r="BM85" s="308"/>
      <c r="BN85" s="308"/>
      <c r="BO85" s="308"/>
      <c r="BP85" s="308"/>
    </row>
    <row r="86" spans="1:68" x14ac:dyDescent="0.25">
      <c r="A86" s="308"/>
      <c r="W86" s="308"/>
      <c r="X86" s="308"/>
      <c r="Y86" s="306"/>
      <c r="Z86" s="306"/>
      <c r="AA86" s="306"/>
      <c r="AB86" s="306"/>
      <c r="AC86" s="306"/>
      <c r="AD86" s="306"/>
      <c r="AE86" s="306"/>
      <c r="AF86" s="306"/>
      <c r="AG86" s="306"/>
      <c r="AH86" s="306"/>
      <c r="AI86" s="306"/>
      <c r="AJ86" s="306"/>
      <c r="AK86" s="306"/>
      <c r="AL86" s="306"/>
      <c r="AM86" s="306"/>
      <c r="AN86" s="306"/>
      <c r="AO86" s="308"/>
      <c r="AP86" s="308"/>
      <c r="AQ86" s="308"/>
      <c r="AR86" s="308"/>
      <c r="AS86" s="308"/>
      <c r="AT86" s="308"/>
      <c r="AU86" s="308"/>
      <c r="AV86" s="308"/>
      <c r="AW86" s="308"/>
      <c r="AX86" s="308"/>
      <c r="AY86" s="308"/>
      <c r="AZ86" s="308"/>
      <c r="BA86" s="308"/>
      <c r="BB86" s="308"/>
      <c r="BC86" s="308"/>
      <c r="BD86" s="308"/>
      <c r="BE86" s="308"/>
      <c r="BF86" s="308"/>
      <c r="BG86" s="308"/>
      <c r="BH86" s="308"/>
      <c r="BI86" s="308"/>
      <c r="BJ86" s="308"/>
      <c r="BK86" s="308"/>
      <c r="BL86" s="308"/>
      <c r="BM86" s="308"/>
      <c r="BN86" s="308"/>
      <c r="BO86" s="308"/>
      <c r="BP86" s="308"/>
    </row>
    <row r="87" spans="1:68" x14ac:dyDescent="0.25">
      <c r="A87" s="308"/>
      <c r="W87" s="308"/>
      <c r="X87" s="308"/>
      <c r="Y87" s="306"/>
      <c r="Z87" s="306"/>
      <c r="AA87" s="306"/>
      <c r="AB87" s="306"/>
      <c r="AC87" s="306"/>
      <c r="AD87" s="306"/>
      <c r="AE87" s="306"/>
      <c r="AF87" s="306"/>
      <c r="AG87" s="306"/>
      <c r="AH87" s="306"/>
      <c r="AI87" s="306"/>
      <c r="AJ87" s="306"/>
      <c r="AK87" s="306"/>
      <c r="AL87" s="306"/>
      <c r="AM87" s="306"/>
      <c r="AN87" s="306"/>
      <c r="AO87" s="308"/>
      <c r="AP87" s="308"/>
      <c r="AQ87" s="308"/>
      <c r="AR87" s="308"/>
      <c r="AS87" s="308"/>
      <c r="AT87" s="308"/>
      <c r="AU87" s="308"/>
      <c r="AV87" s="308"/>
      <c r="AW87" s="308"/>
      <c r="AX87" s="308"/>
      <c r="AY87" s="308"/>
      <c r="AZ87" s="308"/>
      <c r="BA87" s="308"/>
      <c r="BB87" s="308"/>
      <c r="BC87" s="308"/>
      <c r="BD87" s="308"/>
      <c r="BE87" s="308"/>
      <c r="BF87" s="308"/>
      <c r="BG87" s="308"/>
      <c r="BH87" s="308"/>
      <c r="BI87" s="308"/>
      <c r="BJ87" s="308"/>
      <c r="BK87" s="308"/>
      <c r="BL87" s="308"/>
      <c r="BM87" s="308"/>
      <c r="BN87" s="308"/>
      <c r="BO87" s="308"/>
      <c r="BP87" s="308"/>
    </row>
    <row r="88" spans="1:68" x14ac:dyDescent="0.25">
      <c r="A88" s="308"/>
      <c r="W88" s="308"/>
      <c r="X88" s="308"/>
      <c r="Y88" s="306"/>
      <c r="Z88" s="306"/>
      <c r="AA88" s="306"/>
      <c r="AB88" s="306"/>
      <c r="AC88" s="306"/>
      <c r="AD88" s="306"/>
      <c r="AE88" s="306"/>
      <c r="AF88" s="306"/>
      <c r="AG88" s="306"/>
      <c r="AH88" s="306"/>
      <c r="AI88" s="306"/>
      <c r="AJ88" s="306"/>
      <c r="AK88" s="306"/>
      <c r="AL88" s="306"/>
      <c r="AM88" s="306"/>
      <c r="AN88" s="306"/>
      <c r="AO88" s="308"/>
      <c r="AP88" s="308"/>
      <c r="AQ88" s="308"/>
      <c r="AR88" s="308"/>
      <c r="AS88" s="308"/>
      <c r="AT88" s="308"/>
      <c r="AU88" s="308"/>
      <c r="AV88" s="308"/>
      <c r="AW88" s="308"/>
      <c r="AX88" s="308"/>
      <c r="AY88" s="308"/>
      <c r="AZ88" s="308"/>
      <c r="BA88" s="308"/>
      <c r="BB88" s="308"/>
      <c r="BC88" s="308"/>
      <c r="BD88" s="308"/>
      <c r="BE88" s="308"/>
      <c r="BF88" s="308"/>
      <c r="BG88" s="308"/>
      <c r="BH88" s="308"/>
      <c r="BI88" s="308"/>
      <c r="BJ88" s="308"/>
      <c r="BK88" s="308"/>
      <c r="BL88" s="308"/>
      <c r="BM88" s="308"/>
      <c r="BN88" s="308"/>
      <c r="BO88" s="308"/>
      <c r="BP88" s="308"/>
    </row>
    <row r="89" spans="1:68" x14ac:dyDescent="0.25">
      <c r="A89" s="308"/>
      <c r="W89" s="308"/>
      <c r="X89" s="308"/>
      <c r="Y89" s="306"/>
      <c r="Z89" s="306"/>
      <c r="AA89" s="306"/>
      <c r="AB89" s="306"/>
      <c r="AC89" s="306"/>
      <c r="AD89" s="306"/>
      <c r="AE89" s="306"/>
      <c r="AF89" s="306"/>
      <c r="AG89" s="306"/>
      <c r="AH89" s="306"/>
      <c r="AI89" s="306"/>
      <c r="AJ89" s="306"/>
      <c r="AK89" s="306"/>
      <c r="AL89" s="306"/>
      <c r="AM89" s="306"/>
      <c r="AN89" s="306"/>
      <c r="AO89" s="308"/>
      <c r="AP89" s="308"/>
      <c r="AQ89" s="308"/>
      <c r="AR89" s="308"/>
      <c r="AS89" s="308"/>
      <c r="AT89" s="308"/>
      <c r="AU89" s="308"/>
      <c r="AV89" s="308"/>
      <c r="AW89" s="308"/>
      <c r="AX89" s="308"/>
      <c r="AY89" s="308"/>
      <c r="AZ89" s="308"/>
      <c r="BA89" s="308"/>
      <c r="BB89" s="308"/>
      <c r="BC89" s="308"/>
      <c r="BD89" s="308"/>
      <c r="BE89" s="308"/>
      <c r="BF89" s="308"/>
      <c r="BG89" s="308"/>
      <c r="BH89" s="308"/>
      <c r="BI89" s="308"/>
      <c r="BJ89" s="308"/>
      <c r="BK89" s="308"/>
      <c r="BL89" s="308"/>
      <c r="BM89" s="308"/>
      <c r="BN89" s="308"/>
      <c r="BO89" s="308"/>
      <c r="BP89" s="308"/>
    </row>
    <row r="90" spans="1:68" x14ac:dyDescent="0.25">
      <c r="A90" s="308"/>
      <c r="W90" s="308"/>
      <c r="X90" s="308"/>
      <c r="Y90" s="306"/>
      <c r="Z90" s="306"/>
      <c r="AA90" s="306"/>
      <c r="AB90" s="306"/>
      <c r="AC90" s="306"/>
      <c r="AD90" s="306"/>
      <c r="AE90" s="306"/>
      <c r="AF90" s="306"/>
      <c r="AG90" s="306"/>
      <c r="AH90" s="306"/>
      <c r="AI90" s="306"/>
      <c r="AJ90" s="306"/>
      <c r="AK90" s="306"/>
      <c r="AL90" s="306"/>
      <c r="AM90" s="306"/>
      <c r="AN90" s="306"/>
      <c r="AO90" s="308"/>
      <c r="AP90" s="308"/>
      <c r="AQ90" s="308"/>
      <c r="AR90" s="308"/>
      <c r="AS90" s="308"/>
      <c r="AT90" s="308"/>
      <c r="AU90" s="308"/>
      <c r="AV90" s="308"/>
      <c r="AW90" s="308"/>
      <c r="AX90" s="308"/>
      <c r="AY90" s="308"/>
      <c r="AZ90" s="308"/>
      <c r="BA90" s="308"/>
      <c r="BB90" s="308"/>
      <c r="BC90" s="308"/>
      <c r="BD90" s="308"/>
      <c r="BE90" s="308"/>
      <c r="BF90" s="308"/>
      <c r="BG90" s="308"/>
      <c r="BH90" s="308"/>
      <c r="BI90" s="308"/>
      <c r="BJ90" s="308"/>
      <c r="BK90" s="308"/>
      <c r="BL90" s="308"/>
      <c r="BM90" s="308"/>
      <c r="BN90" s="308"/>
      <c r="BO90" s="308"/>
      <c r="BP90" s="308"/>
    </row>
    <row r="91" spans="1:68" x14ac:dyDescent="0.25">
      <c r="A91" s="308"/>
      <c r="W91" s="308"/>
      <c r="X91" s="308"/>
      <c r="Y91" s="306"/>
      <c r="Z91" s="306"/>
      <c r="AA91" s="306"/>
      <c r="AB91" s="306"/>
      <c r="AC91" s="306"/>
      <c r="AD91" s="306"/>
      <c r="AE91" s="306"/>
      <c r="AF91" s="306"/>
      <c r="AG91" s="306"/>
      <c r="AH91" s="306"/>
      <c r="AI91" s="306"/>
      <c r="AJ91" s="306"/>
      <c r="AK91" s="306"/>
      <c r="AL91" s="306"/>
      <c r="AM91" s="306"/>
      <c r="AN91" s="306"/>
      <c r="AO91" s="308"/>
      <c r="AP91" s="308"/>
      <c r="AQ91" s="308"/>
      <c r="AR91" s="308"/>
      <c r="AS91" s="308"/>
      <c r="AT91" s="308"/>
      <c r="AU91" s="308"/>
      <c r="AV91" s="308"/>
      <c r="AW91" s="308"/>
      <c r="AX91" s="308"/>
      <c r="AY91" s="308"/>
      <c r="AZ91" s="308"/>
      <c r="BA91" s="308"/>
      <c r="BB91" s="308"/>
      <c r="BC91" s="308"/>
      <c r="BD91" s="308"/>
      <c r="BE91" s="308"/>
      <c r="BF91" s="308"/>
      <c r="BG91" s="308"/>
      <c r="BH91" s="308"/>
      <c r="BI91" s="308"/>
      <c r="BJ91" s="308"/>
      <c r="BK91" s="308"/>
      <c r="BL91" s="308"/>
      <c r="BM91" s="308"/>
      <c r="BN91" s="308"/>
      <c r="BO91" s="308"/>
      <c r="BP91" s="308"/>
    </row>
    <row r="92" spans="1:68" x14ac:dyDescent="0.25">
      <c r="A92" s="308"/>
      <c r="W92" s="308"/>
      <c r="X92" s="308"/>
      <c r="Y92" s="306"/>
      <c r="Z92" s="306"/>
      <c r="AA92" s="306"/>
      <c r="AB92" s="306"/>
      <c r="AC92" s="306"/>
      <c r="AD92" s="306"/>
      <c r="AE92" s="306"/>
      <c r="AF92" s="306"/>
      <c r="AG92" s="306"/>
      <c r="AH92" s="306"/>
      <c r="AI92" s="306"/>
      <c r="AJ92" s="306"/>
      <c r="AK92" s="306"/>
      <c r="AL92" s="306"/>
      <c r="AM92" s="306"/>
      <c r="AN92" s="306"/>
      <c r="AO92" s="308"/>
      <c r="AP92" s="308"/>
      <c r="AQ92" s="308"/>
      <c r="AR92" s="308"/>
      <c r="AS92" s="308"/>
      <c r="AT92" s="308"/>
      <c r="AU92" s="308"/>
      <c r="AV92" s="308"/>
      <c r="AW92" s="308"/>
      <c r="AX92" s="308"/>
      <c r="AY92" s="308"/>
      <c r="AZ92" s="308"/>
      <c r="BA92" s="308"/>
      <c r="BB92" s="308"/>
      <c r="BC92" s="308"/>
      <c r="BD92" s="308"/>
      <c r="BE92" s="308"/>
      <c r="BF92" s="308"/>
      <c r="BG92" s="308"/>
      <c r="BH92" s="308"/>
      <c r="BI92" s="308"/>
      <c r="BJ92" s="308"/>
      <c r="BK92" s="308"/>
      <c r="BL92" s="308"/>
      <c r="BM92" s="308"/>
      <c r="BN92" s="308"/>
      <c r="BO92" s="308"/>
      <c r="BP92" s="308"/>
    </row>
    <row r="93" spans="1:68" x14ac:dyDescent="0.25">
      <c r="A93" s="308"/>
      <c r="W93" s="308"/>
      <c r="X93" s="308"/>
      <c r="Y93" s="306"/>
      <c r="Z93" s="306"/>
      <c r="AA93" s="306"/>
      <c r="AB93" s="306"/>
      <c r="AC93" s="306"/>
      <c r="AD93" s="306"/>
      <c r="AE93" s="306"/>
      <c r="AF93" s="306"/>
      <c r="AG93" s="306"/>
      <c r="AH93" s="306"/>
      <c r="AI93" s="306"/>
      <c r="AJ93" s="306"/>
      <c r="AK93" s="306"/>
      <c r="AL93" s="306"/>
      <c r="AM93" s="306"/>
      <c r="AN93" s="306"/>
      <c r="AO93" s="308"/>
      <c r="AP93" s="308"/>
      <c r="AQ93" s="308"/>
      <c r="AR93" s="308"/>
      <c r="AS93" s="308"/>
      <c r="AT93" s="308"/>
      <c r="AU93" s="308"/>
      <c r="AV93" s="308"/>
      <c r="AW93" s="308"/>
      <c r="AX93" s="308"/>
      <c r="AY93" s="308"/>
      <c r="AZ93" s="308"/>
      <c r="BA93" s="308"/>
      <c r="BB93" s="308"/>
      <c r="BC93" s="308"/>
      <c r="BD93" s="308"/>
      <c r="BE93" s="308"/>
      <c r="BF93" s="308"/>
      <c r="BG93" s="308"/>
      <c r="BH93" s="308"/>
      <c r="BI93" s="308"/>
      <c r="BJ93" s="308"/>
      <c r="BK93" s="308"/>
      <c r="BL93" s="308"/>
      <c r="BM93" s="308"/>
      <c r="BN93" s="308"/>
      <c r="BO93" s="308"/>
      <c r="BP93" s="308"/>
    </row>
    <row r="94" spans="1:68" x14ac:dyDescent="0.25">
      <c r="A94" s="308"/>
      <c r="W94" s="308"/>
      <c r="X94" s="308"/>
      <c r="Y94" s="306"/>
      <c r="Z94" s="306"/>
      <c r="AA94" s="306"/>
      <c r="AB94" s="306"/>
      <c r="AC94" s="306"/>
      <c r="AD94" s="306"/>
      <c r="AE94" s="306"/>
      <c r="AF94" s="306"/>
      <c r="AG94" s="306"/>
      <c r="AH94" s="306"/>
      <c r="AI94" s="306"/>
      <c r="AJ94" s="306"/>
      <c r="AK94" s="306"/>
      <c r="AL94" s="306"/>
      <c r="AM94" s="306"/>
      <c r="AN94" s="306"/>
      <c r="AO94" s="308"/>
      <c r="AP94" s="308"/>
      <c r="AQ94" s="308"/>
      <c r="AR94" s="308"/>
      <c r="AS94" s="308"/>
      <c r="AT94" s="308"/>
      <c r="AU94" s="308"/>
      <c r="AV94" s="308"/>
      <c r="AW94" s="308"/>
      <c r="AX94" s="308"/>
      <c r="AY94" s="308"/>
      <c r="AZ94" s="308"/>
      <c r="BA94" s="308"/>
      <c r="BB94" s="308"/>
      <c r="BC94" s="308"/>
      <c r="BD94" s="308"/>
      <c r="BE94" s="308"/>
      <c r="BF94" s="308"/>
      <c r="BG94" s="308"/>
      <c r="BH94" s="308"/>
      <c r="BI94" s="308"/>
      <c r="BJ94" s="308"/>
      <c r="BK94" s="308"/>
      <c r="BL94" s="308"/>
      <c r="BM94" s="308"/>
      <c r="BN94" s="308"/>
      <c r="BO94" s="308"/>
      <c r="BP94" s="308"/>
    </row>
    <row r="95" spans="1:68" x14ac:dyDescent="0.25">
      <c r="A95" s="308"/>
      <c r="W95" s="308"/>
      <c r="X95" s="308"/>
      <c r="Y95" s="306"/>
      <c r="Z95" s="306"/>
      <c r="AA95" s="306"/>
      <c r="AB95" s="306"/>
      <c r="AC95" s="306"/>
      <c r="AD95" s="306"/>
      <c r="AE95" s="306"/>
      <c r="AF95" s="306"/>
      <c r="AG95" s="306"/>
      <c r="AH95" s="306"/>
      <c r="AI95" s="306"/>
      <c r="AJ95" s="306"/>
      <c r="AK95" s="306"/>
      <c r="AL95" s="306"/>
      <c r="AM95" s="306"/>
      <c r="AN95" s="306"/>
      <c r="AO95" s="308"/>
      <c r="AP95" s="308"/>
      <c r="AQ95" s="308"/>
      <c r="AR95" s="308"/>
      <c r="AS95" s="308"/>
      <c r="AT95" s="308"/>
      <c r="AU95" s="308"/>
      <c r="AV95" s="308"/>
      <c r="AW95" s="308"/>
      <c r="AX95" s="308"/>
      <c r="AY95" s="308"/>
      <c r="AZ95" s="308"/>
      <c r="BA95" s="308"/>
      <c r="BB95" s="308"/>
      <c r="BC95" s="308"/>
      <c r="BD95" s="308"/>
      <c r="BE95" s="308"/>
      <c r="BF95" s="308"/>
      <c r="BG95" s="308"/>
      <c r="BH95" s="308"/>
      <c r="BI95" s="308"/>
      <c r="BJ95" s="308"/>
      <c r="BK95" s="308"/>
      <c r="BL95" s="308"/>
      <c r="BM95" s="308"/>
      <c r="BN95" s="308"/>
      <c r="BO95" s="308"/>
      <c r="BP95" s="308"/>
    </row>
    <row r="96" spans="1:68" x14ac:dyDescent="0.25">
      <c r="A96" s="308"/>
      <c r="W96" s="308"/>
      <c r="X96" s="308"/>
      <c r="Y96" s="306"/>
      <c r="Z96" s="306"/>
      <c r="AA96" s="306"/>
      <c r="AB96" s="306"/>
      <c r="AC96" s="306"/>
      <c r="AD96" s="306"/>
      <c r="AE96" s="306"/>
      <c r="AF96" s="306"/>
      <c r="AG96" s="306"/>
      <c r="AH96" s="306"/>
      <c r="AI96" s="306"/>
      <c r="AJ96" s="306"/>
      <c r="AK96" s="306"/>
      <c r="AL96" s="306"/>
      <c r="AM96" s="306"/>
      <c r="AN96" s="306"/>
      <c r="AO96" s="308"/>
      <c r="AP96" s="308"/>
      <c r="AQ96" s="308"/>
      <c r="AR96" s="308"/>
      <c r="AS96" s="308"/>
      <c r="AT96" s="308"/>
      <c r="AU96" s="308"/>
      <c r="AV96" s="308"/>
      <c r="AW96" s="308"/>
      <c r="AX96" s="308"/>
      <c r="AY96" s="308"/>
      <c r="AZ96" s="308"/>
      <c r="BA96" s="308"/>
      <c r="BB96" s="308"/>
      <c r="BC96" s="308"/>
      <c r="BD96" s="308"/>
      <c r="BE96" s="308"/>
      <c r="BF96" s="308"/>
      <c r="BG96" s="308"/>
      <c r="BH96" s="308"/>
      <c r="BI96" s="308"/>
      <c r="BJ96" s="308"/>
      <c r="BK96" s="308"/>
      <c r="BL96" s="308"/>
      <c r="BM96" s="308"/>
      <c r="BN96" s="308"/>
      <c r="BO96" s="308"/>
      <c r="BP96" s="308"/>
    </row>
    <row r="97" spans="1:68" x14ac:dyDescent="0.25">
      <c r="A97" s="308"/>
      <c r="W97" s="308"/>
      <c r="X97" s="308"/>
      <c r="Y97" s="306"/>
      <c r="Z97" s="306"/>
      <c r="AA97" s="306"/>
      <c r="AB97" s="306"/>
      <c r="AC97" s="306"/>
      <c r="AD97" s="306"/>
      <c r="AE97" s="306"/>
      <c r="AF97" s="306"/>
      <c r="AG97" s="306"/>
      <c r="AH97" s="306"/>
      <c r="AI97" s="306"/>
      <c r="AJ97" s="306"/>
      <c r="AK97" s="306"/>
      <c r="AL97" s="306"/>
      <c r="AM97" s="306"/>
      <c r="AN97" s="306"/>
      <c r="AO97" s="308"/>
      <c r="AP97" s="308"/>
      <c r="AQ97" s="308"/>
      <c r="AR97" s="308"/>
      <c r="AS97" s="308"/>
      <c r="AT97" s="308"/>
      <c r="AU97" s="308"/>
      <c r="AV97" s="308"/>
      <c r="AW97" s="308"/>
      <c r="AX97" s="308"/>
      <c r="AY97" s="308"/>
      <c r="AZ97" s="308"/>
      <c r="BA97" s="308"/>
      <c r="BB97" s="308"/>
      <c r="BC97" s="308"/>
      <c r="BD97" s="308"/>
      <c r="BE97" s="308"/>
      <c r="BF97" s="308"/>
      <c r="BG97" s="308"/>
      <c r="BH97" s="308"/>
      <c r="BI97" s="308"/>
      <c r="BJ97" s="308"/>
      <c r="BK97" s="308"/>
      <c r="BL97" s="308"/>
      <c r="BM97" s="308"/>
      <c r="BN97" s="308"/>
      <c r="BO97" s="308"/>
      <c r="BP97" s="308"/>
    </row>
    <row r="98" spans="1:68" x14ac:dyDescent="0.25">
      <c r="A98" s="308"/>
      <c r="W98" s="308"/>
      <c r="X98" s="308"/>
      <c r="Y98" s="306"/>
      <c r="Z98" s="306"/>
      <c r="AA98" s="306"/>
      <c r="AB98" s="306"/>
      <c r="AC98" s="306"/>
      <c r="AD98" s="306"/>
      <c r="AE98" s="306"/>
      <c r="AF98" s="306"/>
      <c r="AG98" s="306"/>
      <c r="AH98" s="306"/>
      <c r="AI98" s="306"/>
      <c r="AJ98" s="306"/>
      <c r="AK98" s="306"/>
      <c r="AL98" s="306"/>
      <c r="AM98" s="306"/>
      <c r="AN98" s="306"/>
      <c r="AO98" s="308"/>
      <c r="AP98" s="308"/>
      <c r="AQ98" s="308"/>
      <c r="AR98" s="308"/>
      <c r="AS98" s="308"/>
      <c r="AT98" s="308"/>
      <c r="AU98" s="308"/>
      <c r="AV98" s="308"/>
      <c r="AW98" s="308"/>
      <c r="AX98" s="308"/>
      <c r="AY98" s="308"/>
      <c r="AZ98" s="308"/>
      <c r="BA98" s="308"/>
      <c r="BB98" s="308"/>
      <c r="BC98" s="308"/>
      <c r="BD98" s="308"/>
      <c r="BE98" s="308"/>
      <c r="BF98" s="308"/>
      <c r="BG98" s="308"/>
      <c r="BH98" s="308"/>
      <c r="BI98" s="308"/>
      <c r="BJ98" s="308"/>
      <c r="BK98" s="308"/>
      <c r="BL98" s="308"/>
      <c r="BM98" s="308"/>
      <c r="BN98" s="308"/>
      <c r="BO98" s="308"/>
      <c r="BP98" s="308"/>
    </row>
    <row r="99" spans="1:68" x14ac:dyDescent="0.25">
      <c r="A99" s="308"/>
      <c r="W99" s="308"/>
      <c r="X99" s="308"/>
      <c r="Y99" s="306"/>
      <c r="Z99" s="306"/>
      <c r="AA99" s="306"/>
      <c r="AB99" s="306"/>
      <c r="AC99" s="306"/>
      <c r="AD99" s="306"/>
      <c r="AE99" s="306"/>
      <c r="AF99" s="306"/>
      <c r="AG99" s="306"/>
      <c r="AH99" s="306"/>
      <c r="AI99" s="306"/>
      <c r="AJ99" s="306"/>
      <c r="AK99" s="306"/>
      <c r="AL99" s="306"/>
      <c r="AM99" s="306"/>
      <c r="AN99" s="306"/>
      <c r="AO99" s="308"/>
      <c r="AP99" s="308"/>
      <c r="AQ99" s="308"/>
      <c r="AR99" s="308"/>
      <c r="AS99" s="308"/>
      <c r="AT99" s="308"/>
      <c r="AU99" s="308"/>
      <c r="AV99" s="308"/>
      <c r="AW99" s="308"/>
      <c r="AX99" s="308"/>
      <c r="AY99" s="308"/>
      <c r="AZ99" s="308"/>
      <c r="BA99" s="308"/>
      <c r="BB99" s="308"/>
      <c r="BC99" s="308"/>
      <c r="BD99" s="308"/>
      <c r="BE99" s="308"/>
      <c r="BF99" s="308"/>
      <c r="BG99" s="308"/>
      <c r="BH99" s="308"/>
      <c r="BI99" s="308"/>
      <c r="BJ99" s="308"/>
      <c r="BK99" s="308"/>
      <c r="BL99" s="308"/>
      <c r="BM99" s="308"/>
      <c r="BN99" s="308"/>
      <c r="BO99" s="308"/>
      <c r="BP99" s="308"/>
    </row>
    <row r="100" spans="1:68" x14ac:dyDescent="0.25">
      <c r="A100" s="308"/>
      <c r="W100" s="308"/>
      <c r="X100" s="308"/>
      <c r="Y100" s="306"/>
      <c r="Z100" s="306"/>
      <c r="AA100" s="306"/>
      <c r="AB100" s="306"/>
      <c r="AC100" s="306"/>
      <c r="AD100" s="306"/>
      <c r="AE100" s="306"/>
      <c r="AF100" s="306"/>
      <c r="AG100" s="306"/>
      <c r="AH100" s="306"/>
      <c r="AI100" s="306"/>
      <c r="AJ100" s="306"/>
      <c r="AK100" s="306"/>
      <c r="AL100" s="306"/>
      <c r="AM100" s="306"/>
      <c r="AN100" s="306"/>
      <c r="AO100" s="308"/>
      <c r="AP100" s="308"/>
      <c r="AQ100" s="308"/>
      <c r="AR100" s="308"/>
      <c r="AS100" s="308"/>
      <c r="AT100" s="308"/>
      <c r="AU100" s="308"/>
      <c r="AV100" s="308"/>
      <c r="AW100" s="308"/>
      <c r="AX100" s="308"/>
      <c r="AY100" s="308"/>
      <c r="AZ100" s="308"/>
      <c r="BA100" s="308"/>
      <c r="BB100" s="308"/>
      <c r="BC100" s="308"/>
      <c r="BD100" s="308"/>
      <c r="BE100" s="308"/>
      <c r="BF100" s="308"/>
      <c r="BG100" s="308"/>
      <c r="BH100" s="308"/>
      <c r="BI100" s="308"/>
      <c r="BJ100" s="308"/>
      <c r="BK100" s="308"/>
      <c r="BL100" s="308"/>
      <c r="BM100" s="308"/>
      <c r="BN100" s="308"/>
      <c r="BO100" s="308"/>
      <c r="BP100" s="308"/>
    </row>
    <row r="101" spans="1:68" x14ac:dyDescent="0.25">
      <c r="A101" s="308"/>
      <c r="W101" s="308"/>
      <c r="X101" s="308"/>
      <c r="Y101" s="306"/>
      <c r="Z101" s="306"/>
      <c r="AA101" s="306"/>
      <c r="AB101" s="306"/>
      <c r="AC101" s="306"/>
      <c r="AD101" s="306"/>
      <c r="AE101" s="306"/>
      <c r="AF101" s="306"/>
      <c r="AG101" s="306"/>
      <c r="AH101" s="306"/>
      <c r="AI101" s="306"/>
      <c r="AJ101" s="306"/>
      <c r="AK101" s="306"/>
      <c r="AL101" s="306"/>
      <c r="AM101" s="306"/>
      <c r="AN101" s="306"/>
      <c r="AO101" s="308"/>
      <c r="AP101" s="308"/>
      <c r="AQ101" s="308"/>
      <c r="AR101" s="308"/>
      <c r="AS101" s="308"/>
      <c r="AT101" s="308"/>
      <c r="AU101" s="308"/>
      <c r="AV101" s="308"/>
      <c r="AW101" s="308"/>
      <c r="AX101" s="308"/>
      <c r="AY101" s="308"/>
      <c r="AZ101" s="308"/>
      <c r="BA101" s="308"/>
      <c r="BB101" s="308"/>
      <c r="BC101" s="308"/>
      <c r="BD101" s="308"/>
      <c r="BE101" s="308"/>
      <c r="BF101" s="308"/>
      <c r="BG101" s="308"/>
      <c r="BH101" s="308"/>
      <c r="BI101" s="308"/>
      <c r="BJ101" s="308"/>
      <c r="BK101" s="308"/>
      <c r="BL101" s="308"/>
      <c r="BM101" s="308"/>
      <c r="BN101" s="308"/>
      <c r="BO101" s="308"/>
      <c r="BP101" s="308"/>
    </row>
    <row r="102" spans="1:68" x14ac:dyDescent="0.25">
      <c r="A102" s="308"/>
      <c r="W102" s="308"/>
      <c r="X102" s="308"/>
      <c r="Y102" s="306"/>
      <c r="Z102" s="306"/>
      <c r="AA102" s="306"/>
      <c r="AB102" s="306"/>
      <c r="AC102" s="306"/>
      <c r="AD102" s="306"/>
      <c r="AE102" s="306"/>
      <c r="AF102" s="306"/>
      <c r="AG102" s="306"/>
      <c r="AH102" s="306"/>
      <c r="AI102" s="306"/>
      <c r="AJ102" s="306"/>
      <c r="AK102" s="306"/>
      <c r="AL102" s="306"/>
      <c r="AM102" s="306"/>
      <c r="AN102" s="306"/>
      <c r="AO102" s="308"/>
      <c r="AP102" s="308"/>
      <c r="AQ102" s="308"/>
      <c r="AR102" s="308"/>
      <c r="AS102" s="308"/>
      <c r="AT102" s="308"/>
      <c r="AU102" s="308"/>
      <c r="AV102" s="308"/>
      <c r="AW102" s="308"/>
      <c r="AX102" s="308"/>
      <c r="AY102" s="308"/>
      <c r="AZ102" s="308"/>
      <c r="BA102" s="308"/>
      <c r="BB102" s="308"/>
      <c r="BC102" s="308"/>
      <c r="BD102" s="308"/>
      <c r="BE102" s="308"/>
      <c r="BF102" s="308"/>
      <c r="BG102" s="308"/>
      <c r="BH102" s="308"/>
      <c r="BI102" s="308"/>
      <c r="BJ102" s="308"/>
      <c r="BK102" s="308"/>
      <c r="BL102" s="308"/>
      <c r="BM102" s="308"/>
      <c r="BN102" s="308"/>
      <c r="BO102" s="308"/>
      <c r="BP102" s="308"/>
    </row>
    <row r="103" spans="1:68" x14ac:dyDescent="0.25">
      <c r="A103" s="308"/>
      <c r="W103" s="308"/>
      <c r="X103" s="308"/>
      <c r="Y103" s="306"/>
      <c r="Z103" s="306"/>
      <c r="AA103" s="306"/>
      <c r="AB103" s="306"/>
      <c r="AC103" s="306"/>
      <c r="AD103" s="306"/>
      <c r="AE103" s="306"/>
      <c r="AF103" s="306"/>
      <c r="AG103" s="306"/>
      <c r="AH103" s="306"/>
      <c r="AI103" s="306"/>
      <c r="AJ103" s="306"/>
      <c r="AK103" s="306"/>
      <c r="AL103" s="306"/>
      <c r="AM103" s="306"/>
      <c r="AN103" s="306"/>
      <c r="AO103" s="308"/>
      <c r="AP103" s="308"/>
      <c r="AQ103" s="308"/>
      <c r="AR103" s="308"/>
      <c r="AS103" s="308"/>
      <c r="AT103" s="308"/>
      <c r="AU103" s="308"/>
      <c r="AV103" s="308"/>
      <c r="AW103" s="308"/>
      <c r="AX103" s="308"/>
      <c r="AY103" s="308"/>
      <c r="AZ103" s="308"/>
      <c r="BA103" s="308"/>
      <c r="BB103" s="308"/>
      <c r="BC103" s="308"/>
      <c r="BD103" s="308"/>
      <c r="BE103" s="308"/>
      <c r="BF103" s="308"/>
      <c r="BG103" s="308"/>
      <c r="BH103" s="308"/>
      <c r="BI103" s="308"/>
      <c r="BJ103" s="308"/>
      <c r="BK103" s="308"/>
      <c r="BL103" s="308"/>
      <c r="BM103" s="308"/>
      <c r="BN103" s="308"/>
      <c r="BO103" s="308"/>
      <c r="BP103" s="308"/>
    </row>
    <row r="104" spans="1:68" x14ac:dyDescent="0.25">
      <c r="A104" s="308"/>
      <c r="W104" s="308"/>
      <c r="X104" s="308"/>
      <c r="Y104" s="306"/>
      <c r="Z104" s="306"/>
      <c r="AA104" s="306"/>
      <c r="AB104" s="306"/>
      <c r="AC104" s="306"/>
      <c r="AD104" s="306"/>
      <c r="AE104" s="306"/>
      <c r="AF104" s="306"/>
      <c r="AG104" s="306"/>
      <c r="AH104" s="306"/>
      <c r="AI104" s="306"/>
      <c r="AJ104" s="306"/>
      <c r="AK104" s="306"/>
      <c r="AL104" s="306"/>
      <c r="AM104" s="306"/>
      <c r="AN104" s="306"/>
      <c r="AO104" s="308"/>
      <c r="AP104" s="308"/>
      <c r="AQ104" s="308"/>
      <c r="AR104" s="308"/>
      <c r="AS104" s="308"/>
      <c r="AT104" s="308"/>
      <c r="AU104" s="308"/>
      <c r="AV104" s="308"/>
      <c r="AW104" s="308"/>
      <c r="AX104" s="308"/>
      <c r="AY104" s="308"/>
      <c r="AZ104" s="308"/>
      <c r="BA104" s="308"/>
      <c r="BB104" s="308"/>
      <c r="BC104" s="308"/>
      <c r="BD104" s="308"/>
      <c r="BE104" s="308"/>
      <c r="BF104" s="308"/>
      <c r="BG104" s="308"/>
      <c r="BH104" s="308"/>
      <c r="BI104" s="308"/>
      <c r="BJ104" s="308"/>
      <c r="BK104" s="308"/>
      <c r="BL104" s="308"/>
      <c r="BM104" s="308"/>
      <c r="BN104" s="308"/>
      <c r="BO104" s="308"/>
      <c r="BP104" s="308"/>
    </row>
    <row r="105" spans="1:68" x14ac:dyDescent="0.25">
      <c r="A105" s="308"/>
      <c r="W105" s="308"/>
      <c r="X105" s="308"/>
      <c r="Y105" s="306"/>
      <c r="Z105" s="306"/>
      <c r="AA105" s="306"/>
      <c r="AB105" s="306"/>
      <c r="AC105" s="306"/>
      <c r="AD105" s="306"/>
      <c r="AE105" s="306"/>
      <c r="AF105" s="306"/>
      <c r="AG105" s="306"/>
      <c r="AH105" s="306"/>
      <c r="AI105" s="306"/>
      <c r="AJ105" s="306"/>
      <c r="AK105" s="306"/>
      <c r="AL105" s="306"/>
      <c r="AM105" s="306"/>
      <c r="AN105" s="306"/>
      <c r="AO105" s="308"/>
      <c r="AP105" s="308"/>
      <c r="AQ105" s="308"/>
      <c r="AR105" s="308"/>
      <c r="AS105" s="308"/>
      <c r="AT105" s="308"/>
      <c r="AU105" s="308"/>
      <c r="AV105" s="308"/>
      <c r="AW105" s="308"/>
      <c r="AX105" s="308"/>
      <c r="AY105" s="308"/>
      <c r="AZ105" s="308"/>
      <c r="BA105" s="308"/>
      <c r="BB105" s="308"/>
      <c r="BC105" s="308"/>
      <c r="BD105" s="308"/>
      <c r="BE105" s="308"/>
      <c r="BF105" s="308"/>
      <c r="BG105" s="308"/>
      <c r="BH105" s="308"/>
      <c r="BI105" s="308"/>
      <c r="BJ105" s="308"/>
      <c r="BK105" s="308"/>
      <c r="BL105" s="308"/>
      <c r="BM105" s="308"/>
      <c r="BN105" s="308"/>
      <c r="BO105" s="308"/>
      <c r="BP105" s="308"/>
    </row>
    <row r="106" spans="1:68" x14ac:dyDescent="0.25">
      <c r="A106" s="308"/>
      <c r="W106" s="308"/>
      <c r="X106" s="308"/>
      <c r="Y106" s="306"/>
      <c r="Z106" s="306"/>
      <c r="AA106" s="306"/>
      <c r="AB106" s="306"/>
      <c r="AC106" s="306"/>
      <c r="AD106" s="306"/>
      <c r="AE106" s="306"/>
      <c r="AF106" s="306"/>
      <c r="AG106" s="306"/>
      <c r="AH106" s="306"/>
      <c r="AI106" s="306"/>
      <c r="AJ106" s="306"/>
      <c r="AK106" s="306"/>
      <c r="AL106" s="306"/>
      <c r="AM106" s="306"/>
      <c r="AN106" s="306"/>
      <c r="AO106" s="308"/>
      <c r="AP106" s="308"/>
      <c r="AQ106" s="308"/>
      <c r="AR106" s="308"/>
      <c r="AS106" s="308"/>
      <c r="AT106" s="308"/>
      <c r="AU106" s="308"/>
      <c r="AV106" s="308"/>
      <c r="AW106" s="308"/>
      <c r="AX106" s="308"/>
      <c r="AY106" s="308"/>
      <c r="AZ106" s="308"/>
      <c r="BA106" s="308"/>
      <c r="BB106" s="308"/>
      <c r="BC106" s="308"/>
      <c r="BD106" s="308"/>
      <c r="BE106" s="308"/>
      <c r="BF106" s="308"/>
      <c r="BG106" s="308"/>
      <c r="BH106" s="308"/>
      <c r="BI106" s="308"/>
      <c r="BJ106" s="308"/>
      <c r="BK106" s="308"/>
      <c r="BL106" s="308"/>
      <c r="BM106" s="308"/>
      <c r="BN106" s="308"/>
      <c r="BO106" s="308"/>
      <c r="BP106" s="308"/>
    </row>
    <row r="107" spans="1:68" x14ac:dyDescent="0.25">
      <c r="A107" s="308"/>
      <c r="W107" s="308"/>
      <c r="X107" s="308"/>
      <c r="Y107" s="306"/>
      <c r="Z107" s="306"/>
      <c r="AA107" s="306"/>
      <c r="AB107" s="306"/>
      <c r="AC107" s="306"/>
      <c r="AD107" s="306"/>
      <c r="AE107" s="306"/>
      <c r="AF107" s="306"/>
      <c r="AG107" s="306"/>
      <c r="AH107" s="306"/>
      <c r="AI107" s="306"/>
      <c r="AJ107" s="306"/>
      <c r="AK107" s="306"/>
      <c r="AL107" s="306"/>
      <c r="AM107" s="306"/>
      <c r="AN107" s="306"/>
      <c r="AO107" s="308"/>
      <c r="AP107" s="308"/>
      <c r="AQ107" s="308"/>
      <c r="AR107" s="308"/>
      <c r="AS107" s="308"/>
      <c r="AT107" s="308"/>
      <c r="AU107" s="308"/>
      <c r="AV107" s="308"/>
      <c r="AW107" s="308"/>
      <c r="AX107" s="308"/>
      <c r="AY107" s="308"/>
      <c r="AZ107" s="308"/>
      <c r="BA107" s="308"/>
      <c r="BB107" s="308"/>
      <c r="BC107" s="308"/>
      <c r="BD107" s="308"/>
      <c r="BE107" s="308"/>
      <c r="BF107" s="308"/>
      <c r="BG107" s="308"/>
      <c r="BH107" s="308"/>
      <c r="BI107" s="308"/>
      <c r="BJ107" s="308"/>
      <c r="BK107" s="308"/>
      <c r="BL107" s="308"/>
      <c r="BM107" s="308"/>
      <c r="BN107" s="308"/>
      <c r="BO107" s="308"/>
      <c r="BP107" s="308"/>
    </row>
    <row r="108" spans="1:68" x14ac:dyDescent="0.25">
      <c r="A108" s="308"/>
      <c r="W108" s="308"/>
      <c r="X108" s="308"/>
      <c r="Y108" s="306"/>
      <c r="Z108" s="306"/>
      <c r="AA108" s="306"/>
      <c r="AB108" s="306"/>
      <c r="AC108" s="306"/>
      <c r="AD108" s="306"/>
      <c r="AE108" s="306"/>
      <c r="AF108" s="306"/>
      <c r="AG108" s="306"/>
      <c r="AH108" s="306"/>
      <c r="AI108" s="306"/>
      <c r="AJ108" s="306"/>
      <c r="AK108" s="306"/>
      <c r="AL108" s="306"/>
      <c r="AM108" s="306"/>
      <c r="AN108" s="306"/>
      <c r="AO108" s="308"/>
      <c r="AP108" s="308"/>
      <c r="AQ108" s="308"/>
      <c r="AR108" s="308"/>
      <c r="AS108" s="308"/>
      <c r="AT108" s="308"/>
      <c r="AU108" s="308"/>
      <c r="AV108" s="308"/>
      <c r="AW108" s="308"/>
      <c r="AX108" s="308"/>
      <c r="AY108" s="308"/>
      <c r="AZ108" s="308"/>
      <c r="BA108" s="308"/>
      <c r="BB108" s="308"/>
      <c r="BC108" s="308"/>
      <c r="BD108" s="308"/>
      <c r="BE108" s="308"/>
      <c r="BF108" s="308"/>
      <c r="BG108" s="308"/>
      <c r="BH108" s="308"/>
      <c r="BI108" s="308"/>
      <c r="BJ108" s="308"/>
      <c r="BK108" s="308"/>
      <c r="BL108" s="308"/>
      <c r="BM108" s="308"/>
      <c r="BN108" s="308"/>
      <c r="BO108" s="308"/>
      <c r="BP108" s="308"/>
    </row>
    <row r="109" spans="1:68" x14ac:dyDescent="0.25">
      <c r="A109" s="308"/>
      <c r="W109" s="308"/>
      <c r="X109" s="308"/>
      <c r="Y109" s="306"/>
      <c r="Z109" s="306"/>
      <c r="AA109" s="306"/>
      <c r="AB109" s="306"/>
      <c r="AC109" s="306"/>
      <c r="AD109" s="306"/>
      <c r="AE109" s="306"/>
      <c r="AF109" s="306"/>
      <c r="AG109" s="306"/>
      <c r="AH109" s="306"/>
      <c r="AI109" s="306"/>
      <c r="AJ109" s="306"/>
      <c r="AK109" s="306"/>
      <c r="AL109" s="306"/>
      <c r="AM109" s="306"/>
      <c r="AN109" s="306"/>
      <c r="AO109" s="308"/>
      <c r="AP109" s="308"/>
      <c r="AQ109" s="308"/>
      <c r="AR109" s="308"/>
      <c r="AS109" s="308"/>
      <c r="AT109" s="308"/>
      <c r="AU109" s="308"/>
      <c r="AV109" s="308"/>
      <c r="AW109" s="308"/>
      <c r="AX109" s="308"/>
      <c r="AY109" s="308"/>
      <c r="AZ109" s="308"/>
      <c r="BA109" s="308"/>
      <c r="BB109" s="308"/>
      <c r="BC109" s="308"/>
      <c r="BD109" s="308"/>
      <c r="BE109" s="308"/>
      <c r="BF109" s="308"/>
      <c r="BG109" s="308"/>
      <c r="BH109" s="308"/>
      <c r="BI109" s="308"/>
      <c r="BJ109" s="308"/>
      <c r="BK109" s="308"/>
      <c r="BL109" s="308"/>
      <c r="BM109" s="308"/>
      <c r="BN109" s="308"/>
      <c r="BO109" s="308"/>
      <c r="BP109" s="308"/>
    </row>
    <row r="110" spans="1:68" x14ac:dyDescent="0.25">
      <c r="A110" s="308"/>
      <c r="W110" s="308"/>
      <c r="X110" s="308"/>
      <c r="Y110" s="306"/>
      <c r="Z110" s="306"/>
      <c r="AA110" s="306"/>
      <c r="AB110" s="306"/>
      <c r="AC110" s="306"/>
      <c r="AD110" s="306"/>
      <c r="AE110" s="306"/>
      <c r="AF110" s="306"/>
      <c r="AG110" s="306"/>
      <c r="AH110" s="306"/>
      <c r="AI110" s="306"/>
      <c r="AJ110" s="306"/>
      <c r="AK110" s="306"/>
      <c r="AL110" s="306"/>
      <c r="AM110" s="306"/>
      <c r="AN110" s="306"/>
      <c r="AO110" s="308"/>
      <c r="AP110" s="308"/>
      <c r="AQ110" s="308"/>
      <c r="AR110" s="308"/>
      <c r="AS110" s="308"/>
      <c r="AT110" s="308"/>
      <c r="AU110" s="308"/>
      <c r="AV110" s="308"/>
      <c r="AW110" s="308"/>
      <c r="AX110" s="308"/>
      <c r="AY110" s="308"/>
      <c r="AZ110" s="308"/>
      <c r="BA110" s="308"/>
      <c r="BB110" s="308"/>
      <c r="BC110" s="308"/>
      <c r="BD110" s="308"/>
      <c r="BE110" s="308"/>
      <c r="BF110" s="308"/>
      <c r="BG110" s="308"/>
      <c r="BH110" s="308"/>
      <c r="BI110" s="308"/>
      <c r="BJ110" s="308"/>
      <c r="BK110" s="308"/>
      <c r="BL110" s="308"/>
      <c r="BM110" s="308"/>
      <c r="BN110" s="308"/>
      <c r="BO110" s="308"/>
      <c r="BP110" s="308"/>
    </row>
    <row r="111" spans="1:68" x14ac:dyDescent="0.25">
      <c r="A111" s="308"/>
      <c r="W111" s="308"/>
      <c r="X111" s="308"/>
      <c r="Y111" s="306"/>
      <c r="Z111" s="306"/>
      <c r="AA111" s="306"/>
      <c r="AB111" s="306"/>
      <c r="AC111" s="306"/>
      <c r="AD111" s="306"/>
      <c r="AE111" s="306"/>
      <c r="AF111" s="306"/>
      <c r="AG111" s="306"/>
      <c r="AH111" s="306"/>
      <c r="AI111" s="306"/>
      <c r="AJ111" s="306"/>
      <c r="AK111" s="306"/>
      <c r="AL111" s="306"/>
      <c r="AM111" s="306"/>
      <c r="AN111" s="306"/>
      <c r="AO111" s="308"/>
      <c r="AP111" s="308"/>
      <c r="AQ111" s="308"/>
      <c r="AR111" s="308"/>
      <c r="AS111" s="308"/>
      <c r="AT111" s="308"/>
      <c r="AU111" s="308"/>
      <c r="AV111" s="308"/>
      <c r="AW111" s="308"/>
      <c r="AX111" s="308"/>
      <c r="AY111" s="308"/>
      <c r="AZ111" s="308"/>
      <c r="BA111" s="308"/>
      <c r="BB111" s="308"/>
      <c r="BC111" s="308"/>
      <c r="BD111" s="308"/>
      <c r="BE111" s="308"/>
      <c r="BF111" s="308"/>
      <c r="BG111" s="308"/>
      <c r="BH111" s="308"/>
      <c r="BI111" s="308"/>
      <c r="BJ111" s="308"/>
      <c r="BK111" s="308"/>
      <c r="BL111" s="308"/>
      <c r="BM111" s="308"/>
      <c r="BN111" s="308"/>
      <c r="BO111" s="308"/>
      <c r="BP111" s="308"/>
    </row>
    <row r="112" spans="1:68" x14ac:dyDescent="0.25">
      <c r="A112" s="308"/>
      <c r="W112" s="308"/>
      <c r="X112" s="308"/>
      <c r="Y112" s="306"/>
      <c r="Z112" s="306"/>
      <c r="AA112" s="306"/>
      <c r="AB112" s="306"/>
      <c r="AC112" s="306"/>
      <c r="AD112" s="306"/>
      <c r="AE112" s="306"/>
      <c r="AF112" s="306"/>
      <c r="AG112" s="306"/>
      <c r="AH112" s="306"/>
      <c r="AI112" s="306"/>
      <c r="AJ112" s="306"/>
      <c r="AK112" s="306"/>
      <c r="AL112" s="306"/>
      <c r="AM112" s="306"/>
      <c r="AN112" s="306"/>
      <c r="AO112" s="308"/>
      <c r="AP112" s="308"/>
      <c r="AQ112" s="308"/>
      <c r="AR112" s="308"/>
      <c r="AS112" s="308"/>
      <c r="AT112" s="308"/>
      <c r="AU112" s="308"/>
      <c r="AV112" s="308"/>
      <c r="AW112" s="308"/>
      <c r="AX112" s="308"/>
      <c r="AY112" s="308"/>
      <c r="AZ112" s="308"/>
      <c r="BA112" s="308"/>
      <c r="BB112" s="308"/>
      <c r="BC112" s="308"/>
      <c r="BD112" s="308"/>
      <c r="BE112" s="308"/>
      <c r="BF112" s="308"/>
      <c r="BG112" s="308"/>
      <c r="BH112" s="308"/>
      <c r="BI112" s="308"/>
      <c r="BJ112" s="308"/>
      <c r="BK112" s="308"/>
      <c r="BL112" s="308"/>
      <c r="BM112" s="308"/>
      <c r="BN112" s="308"/>
      <c r="BO112" s="308"/>
      <c r="BP112" s="308"/>
    </row>
    <row r="113" spans="1:68" x14ac:dyDescent="0.25">
      <c r="A113" s="308"/>
      <c r="W113" s="308"/>
      <c r="X113" s="308"/>
      <c r="Y113" s="306"/>
      <c r="Z113" s="306"/>
      <c r="AA113" s="306"/>
      <c r="AB113" s="306"/>
      <c r="AC113" s="306"/>
      <c r="AD113" s="306"/>
      <c r="AE113" s="306"/>
      <c r="AF113" s="306"/>
      <c r="AG113" s="306"/>
      <c r="AH113" s="306"/>
      <c r="AI113" s="306"/>
      <c r="AJ113" s="306"/>
      <c r="AK113" s="306"/>
      <c r="AL113" s="306"/>
      <c r="AM113" s="306"/>
      <c r="AN113" s="306"/>
      <c r="AO113" s="308"/>
      <c r="AP113" s="308"/>
      <c r="AQ113" s="308"/>
      <c r="AR113" s="308"/>
      <c r="AS113" s="308"/>
      <c r="AT113" s="308"/>
      <c r="AU113" s="308"/>
      <c r="AV113" s="308"/>
      <c r="AW113" s="308"/>
      <c r="AX113" s="308"/>
      <c r="AY113" s="308"/>
      <c r="AZ113" s="308"/>
      <c r="BA113" s="308"/>
      <c r="BB113" s="308"/>
      <c r="BC113" s="308"/>
      <c r="BD113" s="308"/>
      <c r="BE113" s="308"/>
      <c r="BF113" s="308"/>
      <c r="BG113" s="308"/>
      <c r="BH113" s="308"/>
      <c r="BI113" s="308"/>
      <c r="BJ113" s="308"/>
      <c r="BK113" s="308"/>
      <c r="BL113" s="308"/>
      <c r="BM113" s="308"/>
      <c r="BN113" s="308"/>
      <c r="BO113" s="308"/>
      <c r="BP113" s="308"/>
    </row>
    <row r="114" spans="1:68" x14ac:dyDescent="0.25">
      <c r="A114" s="308"/>
      <c r="W114" s="308"/>
      <c r="X114" s="308"/>
      <c r="Y114" s="306"/>
      <c r="Z114" s="306"/>
      <c r="AA114" s="306"/>
      <c r="AB114" s="306"/>
      <c r="AC114" s="306"/>
      <c r="AD114" s="306"/>
      <c r="AE114" s="306"/>
      <c r="AF114" s="306"/>
      <c r="AG114" s="306"/>
      <c r="AH114" s="306"/>
      <c r="AI114" s="306"/>
      <c r="AJ114" s="306"/>
      <c r="AK114" s="306"/>
      <c r="AL114" s="306"/>
      <c r="AM114" s="306"/>
      <c r="AN114" s="306"/>
      <c r="AO114" s="308"/>
      <c r="AP114" s="308"/>
      <c r="AQ114" s="308"/>
      <c r="AR114" s="308"/>
      <c r="AS114" s="308"/>
      <c r="AT114" s="308"/>
      <c r="AU114" s="308"/>
      <c r="AV114" s="308"/>
      <c r="AW114" s="308"/>
      <c r="AX114" s="308"/>
      <c r="AY114" s="308"/>
      <c r="AZ114" s="308"/>
      <c r="BA114" s="308"/>
      <c r="BB114" s="308"/>
      <c r="BC114" s="308"/>
      <c r="BD114" s="308"/>
      <c r="BE114" s="308"/>
      <c r="BF114" s="308"/>
      <c r="BG114" s="308"/>
      <c r="BH114" s="308"/>
      <c r="BI114" s="308"/>
      <c r="BJ114" s="308"/>
      <c r="BK114" s="308"/>
      <c r="BL114" s="308"/>
      <c r="BM114" s="308"/>
      <c r="BN114" s="308"/>
      <c r="BO114" s="308"/>
      <c r="BP114" s="308"/>
    </row>
    <row r="115" spans="1:68" x14ac:dyDescent="0.25">
      <c r="A115" s="308"/>
      <c r="W115" s="308"/>
      <c r="X115" s="308"/>
      <c r="Y115" s="306"/>
      <c r="Z115" s="306"/>
      <c r="AA115" s="306"/>
      <c r="AB115" s="306"/>
      <c r="AC115" s="306"/>
      <c r="AD115" s="306"/>
      <c r="AE115" s="306"/>
      <c r="AF115" s="306"/>
      <c r="AG115" s="306"/>
      <c r="AH115" s="306"/>
      <c r="AI115" s="306"/>
      <c r="AJ115" s="306"/>
      <c r="AK115" s="306"/>
      <c r="AL115" s="306"/>
      <c r="AM115" s="306"/>
      <c r="AN115" s="306"/>
      <c r="AO115" s="308"/>
      <c r="AP115" s="308"/>
      <c r="AQ115" s="308"/>
      <c r="AR115" s="308"/>
      <c r="AS115" s="308"/>
      <c r="AT115" s="308"/>
      <c r="AU115" s="308"/>
      <c r="AV115" s="308"/>
      <c r="AW115" s="308"/>
      <c r="AX115" s="308"/>
      <c r="AY115" s="308"/>
      <c r="AZ115" s="308"/>
      <c r="BA115" s="308"/>
      <c r="BB115" s="308"/>
      <c r="BC115" s="308"/>
      <c r="BD115" s="308"/>
      <c r="BE115" s="308"/>
      <c r="BF115" s="308"/>
      <c r="BG115" s="308"/>
      <c r="BH115" s="308"/>
      <c r="BI115" s="308"/>
      <c r="BJ115" s="308"/>
      <c r="BK115" s="308"/>
      <c r="BL115" s="308"/>
      <c r="BM115" s="308"/>
      <c r="BN115" s="308"/>
      <c r="BO115" s="308"/>
      <c r="BP115" s="308"/>
    </row>
    <row r="116" spans="1:68" x14ac:dyDescent="0.25">
      <c r="A116" s="308"/>
      <c r="W116" s="308"/>
      <c r="X116" s="308"/>
      <c r="Y116" s="306"/>
      <c r="Z116" s="306"/>
      <c r="AA116" s="306"/>
      <c r="AB116" s="306"/>
      <c r="AC116" s="306"/>
      <c r="AD116" s="306"/>
      <c r="AE116" s="306"/>
      <c r="AF116" s="306"/>
      <c r="AG116" s="306"/>
      <c r="AH116" s="306"/>
      <c r="AI116" s="306"/>
      <c r="AJ116" s="306"/>
      <c r="AK116" s="306"/>
      <c r="AL116" s="306"/>
      <c r="AM116" s="306"/>
      <c r="AN116" s="306"/>
      <c r="AO116" s="308"/>
      <c r="AP116" s="308"/>
      <c r="AQ116" s="308"/>
      <c r="AR116" s="308"/>
      <c r="AS116" s="308"/>
      <c r="AT116" s="308"/>
      <c r="AU116" s="308"/>
      <c r="AV116" s="308"/>
      <c r="AW116" s="308"/>
      <c r="AX116" s="308"/>
      <c r="AY116" s="308"/>
      <c r="AZ116" s="308"/>
      <c r="BA116" s="308"/>
      <c r="BB116" s="308"/>
      <c r="BC116" s="308"/>
      <c r="BD116" s="308"/>
      <c r="BE116" s="308"/>
      <c r="BF116" s="308"/>
      <c r="BG116" s="308"/>
      <c r="BH116" s="308"/>
      <c r="BI116" s="308"/>
      <c r="BJ116" s="308"/>
      <c r="BK116" s="308"/>
      <c r="BL116" s="308"/>
      <c r="BM116" s="308"/>
      <c r="BN116" s="308"/>
      <c r="BO116" s="308"/>
      <c r="BP116" s="308"/>
    </row>
    <row r="117" spans="1:68" x14ac:dyDescent="0.25">
      <c r="A117" s="308"/>
      <c r="W117" s="308"/>
      <c r="X117" s="308"/>
      <c r="Y117" s="306"/>
      <c r="Z117" s="306"/>
      <c r="AA117" s="306"/>
      <c r="AB117" s="306"/>
      <c r="AC117" s="306"/>
      <c r="AD117" s="306"/>
      <c r="AE117" s="306"/>
      <c r="AF117" s="306"/>
      <c r="AG117" s="306"/>
      <c r="AH117" s="306"/>
      <c r="AI117" s="306"/>
      <c r="AJ117" s="306"/>
      <c r="AK117" s="306"/>
      <c r="AL117" s="306"/>
      <c r="AM117" s="306"/>
      <c r="AN117" s="306"/>
      <c r="AO117" s="308"/>
      <c r="AP117" s="308"/>
      <c r="AQ117" s="308"/>
      <c r="AR117" s="308"/>
      <c r="AS117" s="308"/>
      <c r="AT117" s="308"/>
      <c r="AU117" s="308"/>
      <c r="AV117" s="308"/>
      <c r="AW117" s="308"/>
      <c r="AX117" s="308"/>
      <c r="AY117" s="308"/>
      <c r="AZ117" s="308"/>
      <c r="BA117" s="308"/>
      <c r="BB117" s="308"/>
      <c r="BC117" s="308"/>
      <c r="BD117" s="308"/>
      <c r="BE117" s="308"/>
      <c r="BF117" s="308"/>
      <c r="BG117" s="308"/>
      <c r="BH117" s="308"/>
      <c r="BI117" s="308"/>
      <c r="BJ117" s="308"/>
      <c r="BK117" s="308"/>
      <c r="BL117" s="308"/>
      <c r="BM117" s="308"/>
      <c r="BN117" s="308"/>
      <c r="BO117" s="308"/>
      <c r="BP117" s="308"/>
    </row>
    <row r="118" spans="1:68" x14ac:dyDescent="0.25">
      <c r="A118" s="308"/>
      <c r="W118" s="308"/>
      <c r="X118" s="308"/>
      <c r="Y118" s="306"/>
      <c r="Z118" s="306"/>
      <c r="AA118" s="306"/>
      <c r="AB118" s="306"/>
      <c r="AC118" s="306"/>
      <c r="AD118" s="306"/>
      <c r="AE118" s="306"/>
      <c r="AF118" s="306"/>
      <c r="AG118" s="306"/>
      <c r="AH118" s="306"/>
      <c r="AI118" s="306"/>
      <c r="AJ118" s="306"/>
      <c r="AK118" s="306"/>
      <c r="AL118" s="306"/>
      <c r="AM118" s="306"/>
      <c r="AN118" s="306"/>
      <c r="AO118" s="308"/>
      <c r="AP118" s="308"/>
      <c r="AQ118" s="308"/>
      <c r="AR118" s="308"/>
      <c r="AS118" s="308"/>
      <c r="AT118" s="308"/>
      <c r="AU118" s="308"/>
      <c r="AV118" s="308"/>
      <c r="AW118" s="308"/>
      <c r="AX118" s="308"/>
      <c r="AY118" s="308"/>
      <c r="AZ118" s="308"/>
      <c r="BA118" s="308"/>
      <c r="BB118" s="308"/>
      <c r="BC118" s="308"/>
      <c r="BD118" s="308"/>
      <c r="BE118" s="308"/>
      <c r="BF118" s="308"/>
      <c r="BG118" s="308"/>
      <c r="BH118" s="308"/>
      <c r="BI118" s="308"/>
      <c r="BJ118" s="308"/>
      <c r="BK118" s="308"/>
      <c r="BL118" s="308"/>
      <c r="BM118" s="308"/>
      <c r="BN118" s="308"/>
      <c r="BO118" s="308"/>
      <c r="BP118" s="308"/>
    </row>
    <row r="119" spans="1:68" x14ac:dyDescent="0.25">
      <c r="A119" s="308"/>
      <c r="W119" s="308"/>
      <c r="X119" s="308"/>
      <c r="Y119" s="306"/>
      <c r="Z119" s="306"/>
      <c r="AA119" s="306"/>
      <c r="AB119" s="306"/>
      <c r="AC119" s="306"/>
      <c r="AD119" s="306"/>
      <c r="AE119" s="306"/>
      <c r="AF119" s="306"/>
      <c r="AG119" s="306"/>
      <c r="AH119" s="306"/>
      <c r="AI119" s="306"/>
      <c r="AJ119" s="306"/>
      <c r="AK119" s="306"/>
      <c r="AL119" s="306"/>
      <c r="AM119" s="306"/>
      <c r="AN119" s="306"/>
      <c r="AO119" s="308"/>
      <c r="AP119" s="308"/>
      <c r="AQ119" s="308"/>
      <c r="AR119" s="308"/>
      <c r="AS119" s="308"/>
      <c r="AT119" s="308"/>
      <c r="AU119" s="308"/>
      <c r="AV119" s="308"/>
      <c r="AW119" s="308"/>
      <c r="AX119" s="308"/>
      <c r="AY119" s="308"/>
      <c r="AZ119" s="308"/>
      <c r="BA119" s="308"/>
      <c r="BB119" s="308"/>
      <c r="BC119" s="308"/>
      <c r="BD119" s="308"/>
      <c r="BE119" s="308"/>
      <c r="BF119" s="308"/>
      <c r="BG119" s="308"/>
      <c r="BH119" s="308"/>
      <c r="BI119" s="308"/>
      <c r="BJ119" s="308"/>
      <c r="BK119" s="308"/>
      <c r="BL119" s="308"/>
      <c r="BM119" s="308"/>
      <c r="BN119" s="308"/>
      <c r="BO119" s="308"/>
      <c r="BP119" s="308"/>
    </row>
    <row r="120" spans="1:68" x14ac:dyDescent="0.25">
      <c r="A120" s="308"/>
      <c r="W120" s="308"/>
      <c r="X120" s="308"/>
      <c r="Y120" s="306"/>
      <c r="Z120" s="306"/>
      <c r="AA120" s="306"/>
      <c r="AB120" s="306"/>
      <c r="AC120" s="306"/>
      <c r="AD120" s="306"/>
      <c r="AE120" s="306"/>
      <c r="AF120" s="306"/>
      <c r="AG120" s="306"/>
      <c r="AH120" s="306"/>
      <c r="AI120" s="306"/>
      <c r="AJ120" s="306"/>
      <c r="AK120" s="306"/>
      <c r="AL120" s="306"/>
      <c r="AM120" s="306"/>
      <c r="AN120" s="306"/>
      <c r="AO120" s="308"/>
      <c r="AP120" s="308"/>
      <c r="AQ120" s="308"/>
      <c r="AR120" s="308"/>
      <c r="AS120" s="308"/>
      <c r="AT120" s="308"/>
      <c r="AU120" s="308"/>
      <c r="AV120" s="308"/>
      <c r="AW120" s="308"/>
      <c r="AX120" s="308"/>
      <c r="AY120" s="308"/>
      <c r="AZ120" s="308"/>
      <c r="BA120" s="308"/>
      <c r="BB120" s="308"/>
      <c r="BC120" s="308"/>
      <c r="BD120" s="308"/>
      <c r="BE120" s="308"/>
      <c r="BF120" s="308"/>
      <c r="BG120" s="308"/>
      <c r="BH120" s="308"/>
      <c r="BI120" s="308"/>
      <c r="BJ120" s="308"/>
      <c r="BK120" s="308"/>
      <c r="BL120" s="308"/>
      <c r="BM120" s="308"/>
      <c r="BN120" s="308"/>
      <c r="BO120" s="308"/>
      <c r="BP120" s="308"/>
    </row>
    <row r="121" spans="1:68" x14ac:dyDescent="0.25">
      <c r="A121" s="308"/>
      <c r="W121" s="308"/>
      <c r="X121" s="308"/>
      <c r="Y121" s="306"/>
      <c r="Z121" s="306"/>
      <c r="AA121" s="306"/>
      <c r="AB121" s="306"/>
      <c r="AC121" s="306"/>
      <c r="AD121" s="306"/>
      <c r="AE121" s="306"/>
      <c r="AF121" s="306"/>
      <c r="AG121" s="306"/>
      <c r="AH121" s="306"/>
      <c r="AI121" s="306"/>
      <c r="AJ121" s="306"/>
      <c r="AK121" s="306"/>
      <c r="AL121" s="306"/>
      <c r="AM121" s="306"/>
      <c r="AN121" s="306"/>
      <c r="AO121" s="308"/>
      <c r="AP121" s="308"/>
      <c r="AQ121" s="308"/>
      <c r="AR121" s="308"/>
      <c r="AS121" s="308"/>
      <c r="AT121" s="308"/>
      <c r="AU121" s="308"/>
      <c r="AV121" s="308"/>
      <c r="AW121" s="308"/>
      <c r="AX121" s="308"/>
      <c r="AY121" s="308"/>
      <c r="AZ121" s="308"/>
      <c r="BA121" s="308"/>
      <c r="BB121" s="308"/>
      <c r="BC121" s="308"/>
      <c r="BD121" s="308"/>
      <c r="BE121" s="308"/>
      <c r="BF121" s="308"/>
      <c r="BG121" s="308"/>
      <c r="BH121" s="308"/>
      <c r="BI121" s="308"/>
      <c r="BJ121" s="308"/>
      <c r="BK121" s="308"/>
      <c r="BL121" s="308"/>
      <c r="BM121" s="308"/>
      <c r="BN121" s="308"/>
      <c r="BO121" s="308"/>
      <c r="BP121" s="308"/>
    </row>
    <row r="122" spans="1:68" x14ac:dyDescent="0.25">
      <c r="A122" s="308"/>
      <c r="W122" s="308"/>
      <c r="X122" s="308"/>
      <c r="Y122" s="306"/>
      <c r="Z122" s="306"/>
      <c r="AA122" s="306"/>
      <c r="AB122" s="306"/>
      <c r="AC122" s="306"/>
      <c r="AD122" s="306"/>
      <c r="AE122" s="306"/>
      <c r="AF122" s="306"/>
      <c r="AG122" s="306"/>
      <c r="AH122" s="306"/>
      <c r="AI122" s="306"/>
      <c r="AJ122" s="306"/>
      <c r="AK122" s="306"/>
      <c r="AL122" s="306"/>
      <c r="AM122" s="306"/>
      <c r="AN122" s="306"/>
      <c r="AO122" s="308"/>
      <c r="AP122" s="308"/>
      <c r="AQ122" s="308"/>
      <c r="AR122" s="308"/>
      <c r="AS122" s="308"/>
      <c r="AT122" s="308"/>
      <c r="AU122" s="308"/>
      <c r="AV122" s="308"/>
      <c r="AW122" s="308"/>
      <c r="AX122" s="308"/>
      <c r="AY122" s="308"/>
      <c r="AZ122" s="308"/>
      <c r="BA122" s="308"/>
      <c r="BB122" s="308"/>
      <c r="BC122" s="308"/>
      <c r="BD122" s="308"/>
      <c r="BE122" s="308"/>
      <c r="BF122" s="308"/>
      <c r="BG122" s="308"/>
      <c r="BH122" s="308"/>
      <c r="BI122" s="308"/>
      <c r="BJ122" s="308"/>
      <c r="BK122" s="308"/>
      <c r="BL122" s="308"/>
      <c r="BM122" s="308"/>
      <c r="BN122" s="308"/>
      <c r="BO122" s="308"/>
      <c r="BP122" s="308"/>
    </row>
    <row r="123" spans="1:68" x14ac:dyDescent="0.25">
      <c r="A123" s="308"/>
      <c r="W123" s="308"/>
      <c r="X123" s="308"/>
      <c r="Y123" s="306"/>
      <c r="Z123" s="306"/>
      <c r="AA123" s="306"/>
      <c r="AB123" s="306"/>
      <c r="AC123" s="306"/>
      <c r="AD123" s="306"/>
      <c r="AE123" s="306"/>
      <c r="AF123" s="306"/>
      <c r="AG123" s="306"/>
      <c r="AH123" s="306"/>
      <c r="AI123" s="306"/>
      <c r="AJ123" s="306"/>
      <c r="AK123" s="306"/>
      <c r="AL123" s="306"/>
      <c r="AM123" s="306"/>
      <c r="AN123" s="306"/>
      <c r="AO123" s="308"/>
      <c r="AP123" s="308"/>
      <c r="AQ123" s="308"/>
      <c r="AR123" s="308"/>
      <c r="AS123" s="308"/>
      <c r="AT123" s="308"/>
      <c r="AU123" s="308"/>
      <c r="AV123" s="308"/>
      <c r="AW123" s="308"/>
      <c r="AX123" s="308"/>
      <c r="AY123" s="308"/>
      <c r="AZ123" s="308"/>
      <c r="BA123" s="308"/>
      <c r="BB123" s="308"/>
      <c r="BC123" s="308"/>
      <c r="BD123" s="308"/>
      <c r="BE123" s="308"/>
      <c r="BF123" s="308"/>
      <c r="BG123" s="308"/>
      <c r="BH123" s="308"/>
      <c r="BI123" s="308"/>
      <c r="BJ123" s="308"/>
      <c r="BK123" s="308"/>
      <c r="BL123" s="308"/>
      <c r="BM123" s="308"/>
      <c r="BN123" s="308"/>
      <c r="BO123" s="308"/>
      <c r="BP123" s="308"/>
    </row>
    <row r="124" spans="1:68" x14ac:dyDescent="0.25">
      <c r="A124" s="308"/>
      <c r="W124" s="308"/>
      <c r="X124" s="308"/>
      <c r="Y124" s="306"/>
      <c r="Z124" s="306"/>
      <c r="AA124" s="306"/>
      <c r="AB124" s="306"/>
      <c r="AC124" s="306"/>
      <c r="AD124" s="306"/>
      <c r="AE124" s="306"/>
      <c r="AF124" s="306"/>
      <c r="AG124" s="306"/>
      <c r="AH124" s="306"/>
      <c r="AI124" s="306"/>
      <c r="AJ124" s="306"/>
      <c r="AK124" s="306"/>
      <c r="AL124" s="306"/>
      <c r="AM124" s="306"/>
      <c r="AN124" s="306"/>
      <c r="AO124" s="308"/>
      <c r="AP124" s="308"/>
      <c r="AQ124" s="308"/>
      <c r="AR124" s="308"/>
      <c r="AS124" s="308"/>
      <c r="AT124" s="308"/>
      <c r="AU124" s="308"/>
      <c r="AV124" s="308"/>
      <c r="AW124" s="308"/>
      <c r="AX124" s="308"/>
      <c r="AY124" s="308"/>
      <c r="AZ124" s="308"/>
      <c r="BA124" s="308"/>
      <c r="BB124" s="308"/>
      <c r="BC124" s="308"/>
      <c r="BD124" s="308"/>
      <c r="BE124" s="308"/>
      <c r="BF124" s="308"/>
      <c r="BG124" s="308"/>
      <c r="BH124" s="308"/>
      <c r="BI124" s="308"/>
      <c r="BJ124" s="308"/>
      <c r="BK124" s="308"/>
      <c r="BL124" s="308"/>
      <c r="BM124" s="308"/>
      <c r="BN124" s="308"/>
      <c r="BO124" s="308"/>
      <c r="BP124" s="308"/>
    </row>
    <row r="125" spans="1:68" x14ac:dyDescent="0.25">
      <c r="A125" s="308"/>
      <c r="W125" s="308"/>
      <c r="X125" s="308"/>
      <c r="Y125" s="306"/>
      <c r="Z125" s="306"/>
      <c r="AA125" s="306"/>
      <c r="AB125" s="306"/>
      <c r="AC125" s="306"/>
      <c r="AD125" s="306"/>
      <c r="AE125" s="306"/>
      <c r="AF125" s="306"/>
      <c r="AG125" s="306"/>
      <c r="AH125" s="306"/>
      <c r="AI125" s="306"/>
      <c r="AJ125" s="306"/>
      <c r="AK125" s="306"/>
      <c r="AL125" s="306"/>
      <c r="AM125" s="306"/>
      <c r="AN125" s="306"/>
      <c r="AO125" s="308"/>
      <c r="AP125" s="308"/>
      <c r="AQ125" s="308"/>
      <c r="AR125" s="308"/>
      <c r="AS125" s="308"/>
      <c r="AT125" s="308"/>
      <c r="AU125" s="308"/>
      <c r="AV125" s="308"/>
      <c r="AW125" s="308"/>
      <c r="AX125" s="308"/>
      <c r="AY125" s="308"/>
      <c r="AZ125" s="308"/>
      <c r="BA125" s="308"/>
      <c r="BB125" s="308"/>
      <c r="BC125" s="308"/>
      <c r="BD125" s="308"/>
      <c r="BE125" s="308"/>
      <c r="BF125" s="308"/>
      <c r="BG125" s="308"/>
      <c r="BH125" s="308"/>
      <c r="BI125" s="308"/>
      <c r="BJ125" s="308"/>
      <c r="BK125" s="308"/>
      <c r="BL125" s="308"/>
      <c r="BM125" s="308"/>
      <c r="BN125" s="308"/>
      <c r="BO125" s="308"/>
      <c r="BP125" s="308"/>
    </row>
    <row r="126" spans="1:68" x14ac:dyDescent="0.25">
      <c r="A126" s="308"/>
      <c r="W126" s="308"/>
      <c r="X126" s="308"/>
      <c r="Y126" s="306"/>
      <c r="Z126" s="306"/>
      <c r="AA126" s="306"/>
      <c r="AB126" s="306"/>
      <c r="AC126" s="306"/>
      <c r="AD126" s="306"/>
      <c r="AE126" s="306"/>
      <c r="AF126" s="306"/>
      <c r="AG126" s="306"/>
      <c r="AH126" s="306"/>
      <c r="AI126" s="306"/>
      <c r="AJ126" s="306"/>
      <c r="AK126" s="306"/>
      <c r="AL126" s="306"/>
      <c r="AM126" s="306"/>
      <c r="AN126" s="306"/>
      <c r="AO126" s="308"/>
      <c r="AP126" s="308"/>
      <c r="AQ126" s="308"/>
      <c r="AR126" s="308"/>
      <c r="AS126" s="308"/>
      <c r="AT126" s="308"/>
      <c r="AU126" s="308"/>
      <c r="AV126" s="308"/>
      <c r="AW126" s="308"/>
      <c r="AX126" s="308"/>
      <c r="AY126" s="308"/>
      <c r="AZ126" s="308"/>
      <c r="BA126" s="308"/>
      <c r="BB126" s="308"/>
      <c r="BC126" s="308"/>
      <c r="BD126" s="308"/>
      <c r="BE126" s="308"/>
      <c r="BF126" s="308"/>
      <c r="BG126" s="308"/>
      <c r="BH126" s="308"/>
      <c r="BI126" s="308"/>
      <c r="BJ126" s="308"/>
      <c r="BK126" s="308"/>
      <c r="BL126" s="308"/>
      <c r="BM126" s="308"/>
      <c r="BN126" s="308"/>
      <c r="BO126" s="308"/>
      <c r="BP126" s="308"/>
    </row>
    <row r="127" spans="1:68" x14ac:dyDescent="0.25">
      <c r="A127" s="308"/>
      <c r="W127" s="308"/>
      <c r="X127" s="308"/>
      <c r="Y127" s="306"/>
      <c r="Z127" s="306"/>
      <c r="AA127" s="306"/>
      <c r="AB127" s="306"/>
      <c r="AC127" s="306"/>
      <c r="AD127" s="306"/>
      <c r="AE127" s="306"/>
      <c r="AF127" s="306"/>
      <c r="AG127" s="306"/>
      <c r="AH127" s="306"/>
      <c r="AI127" s="306"/>
      <c r="AJ127" s="306"/>
      <c r="AK127" s="306"/>
      <c r="AL127" s="306"/>
      <c r="AM127" s="306"/>
      <c r="AN127" s="306"/>
      <c r="AO127" s="308"/>
      <c r="AP127" s="308"/>
      <c r="AQ127" s="308"/>
      <c r="AR127" s="308"/>
      <c r="AS127" s="308"/>
      <c r="AT127" s="308"/>
      <c r="AU127" s="308"/>
      <c r="AV127" s="308"/>
      <c r="AW127" s="308"/>
      <c r="AX127" s="308"/>
      <c r="AY127" s="308"/>
      <c r="AZ127" s="308"/>
      <c r="BA127" s="308"/>
      <c r="BB127" s="308"/>
      <c r="BC127" s="308"/>
      <c r="BD127" s="308"/>
      <c r="BE127" s="308"/>
      <c r="BF127" s="308"/>
      <c r="BG127" s="308"/>
      <c r="BH127" s="308"/>
      <c r="BI127" s="308"/>
      <c r="BJ127" s="308"/>
      <c r="BK127" s="308"/>
      <c r="BL127" s="308"/>
      <c r="BM127" s="308"/>
      <c r="BN127" s="308"/>
      <c r="BO127" s="308"/>
      <c r="BP127" s="308"/>
    </row>
    <row r="128" spans="1:68" x14ac:dyDescent="0.25">
      <c r="A128" s="308"/>
      <c r="W128" s="308"/>
      <c r="X128" s="308"/>
      <c r="Y128" s="306"/>
      <c r="Z128" s="306"/>
      <c r="AA128" s="306"/>
      <c r="AB128" s="306"/>
      <c r="AC128" s="306"/>
      <c r="AD128" s="306"/>
      <c r="AE128" s="306"/>
      <c r="AF128" s="306"/>
      <c r="AG128" s="306"/>
      <c r="AH128" s="306"/>
      <c r="AI128" s="306"/>
      <c r="AJ128" s="306"/>
      <c r="AK128" s="306"/>
      <c r="AL128" s="306"/>
      <c r="AM128" s="306"/>
      <c r="AN128" s="306"/>
      <c r="AO128" s="308"/>
      <c r="AP128" s="308"/>
      <c r="AQ128" s="308"/>
      <c r="AR128" s="308"/>
      <c r="AS128" s="308"/>
      <c r="AT128" s="308"/>
      <c r="AU128" s="308"/>
      <c r="AV128" s="308"/>
      <c r="AW128" s="308"/>
      <c r="AX128" s="308"/>
      <c r="AY128" s="308"/>
      <c r="AZ128" s="308"/>
      <c r="BA128" s="308"/>
      <c r="BB128" s="308"/>
      <c r="BC128" s="308"/>
      <c r="BD128" s="308"/>
      <c r="BE128" s="308"/>
      <c r="BF128" s="308"/>
      <c r="BG128" s="308"/>
      <c r="BH128" s="308"/>
      <c r="BI128" s="308"/>
      <c r="BJ128" s="308"/>
      <c r="BK128" s="308"/>
      <c r="BL128" s="308"/>
      <c r="BM128" s="308"/>
      <c r="BN128" s="308"/>
      <c r="BO128" s="308"/>
      <c r="BP128" s="308"/>
    </row>
  </sheetData>
  <mergeCells count="24">
    <mergeCell ref="AA13:AA14"/>
    <mergeCell ref="AB13:AF14"/>
    <mergeCell ref="AG13:AK14"/>
    <mergeCell ref="B46:B47"/>
    <mergeCell ref="D46:D47"/>
    <mergeCell ref="E46:E47"/>
    <mergeCell ref="F46:I46"/>
    <mergeCell ref="K46:N46"/>
    <mergeCell ref="M13:M14"/>
    <mergeCell ref="N13:N14"/>
    <mergeCell ref="O13:R13"/>
    <mergeCell ref="S13:T13"/>
    <mergeCell ref="U13:U14"/>
    <mergeCell ref="V13:V14"/>
    <mergeCell ref="B7:V7"/>
    <mergeCell ref="B8:V8"/>
    <mergeCell ref="B13:B14"/>
    <mergeCell ref="C13:C14"/>
    <mergeCell ref="D13:D14"/>
    <mergeCell ref="E13:E14"/>
    <mergeCell ref="F13:I13"/>
    <mergeCell ref="J13:J14"/>
    <mergeCell ref="K13:K14"/>
    <mergeCell ref="L13:L1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5</vt:i4>
      </vt:variant>
    </vt:vector>
  </HeadingPairs>
  <TitlesOfParts>
    <vt:vector size="20" baseType="lpstr">
      <vt:lpstr>RECAP (VAT excl)</vt:lpstr>
      <vt:lpstr>RECAP (VAT incl)</vt:lpstr>
      <vt:lpstr>LAIF (incl AFD Remuneration)</vt:lpstr>
      <vt:lpstr>PAyC UGP BDE  AFD UE LAI</vt:lpstr>
      <vt:lpstr>actualización</vt:lpstr>
      <vt:lpstr>Hoja2</vt:lpstr>
      <vt:lpstr>PAyC BDE AFD LAIF</vt:lpstr>
      <vt:lpstr>Hoja5</vt:lpstr>
      <vt:lpstr>Anexo 1 Viáticos</vt:lpstr>
      <vt:lpstr>Anexo 2 Arrendam Vehíc</vt:lpstr>
      <vt:lpstr>Anexo 3 Manten Vehíc</vt:lpstr>
      <vt:lpstr>Anexo 1 cálculo viaticos</vt:lpstr>
      <vt:lpstr>Anexo 2 Arrendamiento</vt:lpstr>
      <vt:lpstr>Anexo3 Vehiculo (gastos mante)</vt:lpstr>
      <vt:lpstr>Hoja1</vt:lpstr>
      <vt:lpstr>'Anexo 1 cálculo viaticos'!Área_de_impresión</vt:lpstr>
      <vt:lpstr>'Anexo 2 Arrendamiento'!Área_de_impresión</vt:lpstr>
      <vt:lpstr>'Anexo3 Vehiculo (gastos mante)'!Área_de_impresión</vt:lpstr>
      <vt:lpstr>'PAyC BDE AFD LAIF'!Área_de_impresión</vt:lpstr>
      <vt:lpstr>'PAyC UGP BDE  AFD UE LAI'!Área_de_impresión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Marin Carlos</dc:creator>
  <cp:lastModifiedBy>Chavez Mariaeleana</cp:lastModifiedBy>
  <cp:lastPrinted>2021-06-15T15:46:26Z</cp:lastPrinted>
  <dcterms:created xsi:type="dcterms:W3CDTF">2016-05-20T19:15:35Z</dcterms:created>
  <dcterms:modified xsi:type="dcterms:W3CDTF">2021-12-15T15:40:03Z</dcterms:modified>
</cp:coreProperties>
</file>